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420" yWindow="-225" windowWidth="15480" windowHeight="11580" tabRatio="929"/>
  </bookViews>
  <sheets>
    <sheet name="Расчет 004-55-1-01.12-1314" sheetId="13" r:id="rId1"/>
    <sheet name="НМЦ лота 004-55-1-01.12-1314" sheetId="14" r:id="rId2"/>
  </sheets>
  <definedNames>
    <definedName name="_xlnm.Print_Area" localSheetId="0">'Расчет 004-55-1-01.12-1314'!$A$1:$R$51,'Расчет 004-55-1-01.12-1314'!$T$31:$AM$41</definedName>
  </definedNames>
  <calcPr calcId="145621"/>
</workbook>
</file>

<file path=xl/calcChain.xml><?xml version="1.0" encoding="utf-8"?>
<calcChain xmlns="http://schemas.openxmlformats.org/spreadsheetml/2006/main">
  <c r="N40" i="13" l="1"/>
  <c r="F20" i="14"/>
  <c r="R40" i="13" l="1"/>
  <c r="G28" i="14"/>
  <c r="F28" i="14"/>
  <c r="E28" i="14"/>
  <c r="D28" i="14"/>
  <c r="D27" i="14" l="1"/>
  <c r="H27" i="14" s="1"/>
  <c r="D30" i="14" l="1"/>
  <c r="E17" i="14"/>
  <c r="E20" i="14" s="1"/>
  <c r="G19" i="14" l="1"/>
  <c r="D15" i="14"/>
  <c r="Q25" i="13"/>
  <c r="AU25" i="13"/>
  <c r="H13" i="14"/>
  <c r="AQ41" i="13"/>
  <c r="AP41" i="13"/>
  <c r="AK41" i="13"/>
  <c r="P34" i="13"/>
  <c r="O34" i="13"/>
  <c r="N34" i="13"/>
  <c r="L34" i="13"/>
  <c r="K34" i="13"/>
  <c r="J34" i="13"/>
  <c r="I34" i="13"/>
  <c r="G34" i="13"/>
  <c r="F34" i="13"/>
  <c r="E34" i="13"/>
  <c r="D34" i="13"/>
  <c r="Q33" i="13"/>
  <c r="M33" i="13"/>
  <c r="Z41" i="13" s="1"/>
  <c r="H33" i="13"/>
  <c r="P30" i="13"/>
  <c r="O30" i="13"/>
  <c r="N30" i="13"/>
  <c r="K30" i="13"/>
  <c r="J30" i="13"/>
  <c r="I30" i="13"/>
  <c r="F30" i="13"/>
  <c r="E30" i="13"/>
  <c r="D30" i="13"/>
  <c r="P26" i="13"/>
  <c r="O26" i="13"/>
  <c r="N26" i="13"/>
  <c r="K26" i="13"/>
  <c r="J26" i="13"/>
  <c r="I26" i="13"/>
  <c r="F26" i="13"/>
  <c r="E26" i="13"/>
  <c r="D26" i="13"/>
  <c r="P21" i="13"/>
  <c r="O21" i="13"/>
  <c r="L21" i="13"/>
  <c r="K21" i="13"/>
  <c r="J21" i="13"/>
  <c r="F21" i="13"/>
  <c r="E21" i="13"/>
  <c r="Q17" i="13"/>
  <c r="Q18" i="13" s="1"/>
  <c r="Q22" i="13" s="1"/>
  <c r="P17" i="13"/>
  <c r="P18" i="13" s="1"/>
  <c r="O17" i="13"/>
  <c r="O22" i="13" s="1"/>
  <c r="L17" i="13"/>
  <c r="L18" i="13" s="1"/>
  <c r="K17" i="13"/>
  <c r="K22" i="13" s="1"/>
  <c r="J17" i="13"/>
  <c r="J22" i="13" s="1"/>
  <c r="J27" i="13" s="1"/>
  <c r="I17" i="13"/>
  <c r="I18" i="13" s="1"/>
  <c r="G17" i="13"/>
  <c r="G22" i="13" s="1"/>
  <c r="F17" i="13"/>
  <c r="F22" i="13" s="1"/>
  <c r="F27" i="13" s="1"/>
  <c r="E17" i="13"/>
  <c r="E18" i="13" s="1"/>
  <c r="D17" i="13"/>
  <c r="N16" i="13"/>
  <c r="R16" i="13" s="1"/>
  <c r="M16" i="13"/>
  <c r="H16" i="13"/>
  <c r="AU12" i="13"/>
  <c r="J31" i="13" l="1"/>
  <c r="J35" i="13" s="1"/>
  <c r="G20" i="14"/>
  <c r="H19" i="14"/>
  <c r="D17" i="14"/>
  <c r="D20" i="14" s="1"/>
  <c r="I20" i="13"/>
  <c r="Q34" i="13"/>
  <c r="F31" i="13"/>
  <c r="F35" i="13" s="1"/>
  <c r="F37" i="13" s="1"/>
  <c r="H15" i="14"/>
  <c r="H34" i="13"/>
  <c r="U41" i="13" s="1"/>
  <c r="M34" i="13"/>
  <c r="H17" i="13"/>
  <c r="R33" i="13"/>
  <c r="V32" i="13" s="1"/>
  <c r="V31" i="13" s="1"/>
  <c r="R34" i="13"/>
  <c r="AE41" i="13" s="1"/>
  <c r="AJ41" i="13" s="1"/>
  <c r="O27" i="13"/>
  <c r="O31" i="13" s="1"/>
  <c r="O35" i="13" s="1"/>
  <c r="O37" i="13" s="1"/>
  <c r="O38" i="13" s="1"/>
  <c r="K27" i="13"/>
  <c r="K31" i="13" s="1"/>
  <c r="K35" i="13" s="1"/>
  <c r="K37" i="13" s="1"/>
  <c r="K38" i="13" s="1"/>
  <c r="K41" i="13" s="1"/>
  <c r="F21" i="14"/>
  <c r="F22" i="14" s="1"/>
  <c r="F24" i="14" s="1"/>
  <c r="F26" i="14" s="1"/>
  <c r="J37" i="13"/>
  <c r="J38" i="13" s="1"/>
  <c r="J41" i="13" s="1"/>
  <c r="M17" i="13"/>
  <c r="F18" i="13"/>
  <c r="J18" i="13"/>
  <c r="L22" i="13"/>
  <c r="P22" i="13"/>
  <c r="P27" i="13" s="1"/>
  <c r="P31" i="13" s="1"/>
  <c r="P35" i="13" s="1"/>
  <c r="N17" i="13"/>
  <c r="G18" i="13"/>
  <c r="K18" i="13"/>
  <c r="O18" i="13"/>
  <c r="E22" i="13"/>
  <c r="E27" i="13" s="1"/>
  <c r="E31" i="13" s="1"/>
  <c r="E35" i="13" s="1"/>
  <c r="D18" i="13"/>
  <c r="D20" i="13" s="1"/>
  <c r="O39" i="13" l="1"/>
  <c r="O41" i="13" s="1"/>
  <c r="O42" i="13" s="1"/>
  <c r="O43" i="13" s="1"/>
  <c r="F38" i="13"/>
  <c r="F41" i="13" s="1"/>
  <c r="M18" i="13"/>
  <c r="F30" i="14"/>
  <c r="F31" i="14" s="1"/>
  <c r="F29" i="14"/>
  <c r="D21" i="14"/>
  <c r="H20" i="14"/>
  <c r="G21" i="14"/>
  <c r="G22" i="14" s="1"/>
  <c r="E21" i="14"/>
  <c r="E22" i="14" s="1"/>
  <c r="E24" i="14" s="1"/>
  <c r="K42" i="13"/>
  <c r="K43" i="13" s="1"/>
  <c r="AA41" i="13"/>
  <c r="J42" i="13"/>
  <c r="J43" i="13" s="1"/>
  <c r="F42" i="13"/>
  <c r="F43" i="13" s="1"/>
  <c r="V41" i="13"/>
  <c r="E37" i="13"/>
  <c r="E38" i="13" s="1"/>
  <c r="E41" i="13" s="1"/>
  <c r="R17" i="13"/>
  <c r="N18" i="13"/>
  <c r="N20" i="13" s="1"/>
  <c r="P37" i="13"/>
  <c r="P38" i="13" s="1"/>
  <c r="P39" i="13" s="1"/>
  <c r="H18" i="13"/>
  <c r="I21" i="13"/>
  <c r="M20" i="13"/>
  <c r="E26" i="14" l="1"/>
  <c r="E30" i="14" s="1"/>
  <c r="E31" i="14" s="1"/>
  <c r="G24" i="14"/>
  <c r="G26" i="14" s="1"/>
  <c r="G29" i="14" s="1"/>
  <c r="H21" i="14"/>
  <c r="D22" i="14"/>
  <c r="E42" i="13"/>
  <c r="E43" i="13" s="1"/>
  <c r="P41" i="13"/>
  <c r="AF41" i="13"/>
  <c r="D21" i="13"/>
  <c r="H20" i="13"/>
  <c r="M21" i="13"/>
  <c r="I22" i="13"/>
  <c r="R18" i="13"/>
  <c r="G30" i="14" l="1"/>
  <c r="E29" i="14"/>
  <c r="G31" i="14"/>
  <c r="L24" i="13"/>
  <c r="M24" i="13"/>
  <c r="H22" i="14"/>
  <c r="D24" i="14"/>
  <c r="D26" i="14" s="1"/>
  <c r="I27" i="13"/>
  <c r="M22" i="13"/>
  <c r="P42" i="13"/>
  <c r="P43" i="13" s="1"/>
  <c r="R20" i="13"/>
  <c r="N21" i="13"/>
  <c r="H21" i="13"/>
  <c r="D22" i="13"/>
  <c r="G24" i="13" s="1"/>
  <c r="D29" i="14" l="1"/>
  <c r="D31" i="14" s="1"/>
  <c r="H24" i="13"/>
  <c r="H24" i="14"/>
  <c r="D27" i="13"/>
  <c r="H22" i="13"/>
  <c r="I31" i="13"/>
  <c r="R21" i="13"/>
  <c r="N22" i="13"/>
  <c r="Q24" i="13" s="1"/>
  <c r="M25" i="13"/>
  <c r="L26" i="13"/>
  <c r="H29" i="14" l="1"/>
  <c r="R24" i="13"/>
  <c r="H30" i="14"/>
  <c r="H26" i="14"/>
  <c r="I35" i="13"/>
  <c r="N27" i="13"/>
  <c r="R22" i="13"/>
  <c r="D31" i="13"/>
  <c r="M26" i="13"/>
  <c r="L27" i="13"/>
  <c r="G26" i="13"/>
  <c r="H25" i="13"/>
  <c r="H31" i="14" l="1"/>
  <c r="N31" i="13"/>
  <c r="H26" i="13"/>
  <c r="G27" i="13"/>
  <c r="D35" i="13"/>
  <c r="Q26" i="13"/>
  <c r="Q27" i="13" s="1"/>
  <c r="R25" i="13"/>
  <c r="M27" i="13"/>
  <c r="I37" i="13"/>
  <c r="I38" i="13" s="1"/>
  <c r="R26" i="13" l="1"/>
  <c r="H27" i="13"/>
  <c r="I41" i="13"/>
  <c r="L29" i="13"/>
  <c r="L30" i="13" s="1"/>
  <c r="N35" i="13"/>
  <c r="D37" i="13"/>
  <c r="R27" i="13"/>
  <c r="Q29" i="13" l="1"/>
  <c r="Q30" i="13" s="1"/>
  <c r="N37" i="13"/>
  <c r="N38" i="13" s="1"/>
  <c r="N39" i="13" s="1"/>
  <c r="D38" i="13"/>
  <c r="M29" i="13"/>
  <c r="I42" i="13"/>
  <c r="I43" i="13" s="1"/>
  <c r="AB41" i="13"/>
  <c r="G29" i="13"/>
  <c r="G30" i="13" s="1"/>
  <c r="M30" i="13" l="1"/>
  <c r="L31" i="13"/>
  <c r="H29" i="13"/>
  <c r="D41" i="13"/>
  <c r="R29" i="13"/>
  <c r="R30" i="13" l="1"/>
  <c r="Q31" i="13"/>
  <c r="L35" i="13"/>
  <c r="M31" i="13"/>
  <c r="H30" i="13"/>
  <c r="G31" i="13"/>
  <c r="W36" i="13"/>
  <c r="V36" i="13"/>
  <c r="W41" i="13"/>
  <c r="D42" i="13"/>
  <c r="N41" i="13"/>
  <c r="AG41" i="13"/>
  <c r="AL41" i="13" s="1"/>
  <c r="L37" i="13" l="1"/>
  <c r="M37" i="13" s="1"/>
  <c r="M35" i="13"/>
  <c r="G35" i="13"/>
  <c r="H31" i="13"/>
  <c r="Q35" i="13"/>
  <c r="R31" i="13"/>
  <c r="N42" i="13"/>
  <c r="N43" i="13" s="1"/>
  <c r="D43" i="13"/>
  <c r="Q37" i="13" l="1"/>
  <c r="R37" i="13" s="1"/>
  <c r="R35" i="13"/>
  <c r="L38" i="13"/>
  <c r="G37" i="13"/>
  <c r="H37" i="13" s="1"/>
  <c r="H35" i="13"/>
  <c r="G38" i="13" l="1"/>
  <c r="G41" i="13" s="1"/>
  <c r="L41" i="13"/>
  <c r="M38" i="13"/>
  <c r="Q38" i="13"/>
  <c r="Q39" i="13" s="1"/>
  <c r="H38" i="13" l="1"/>
  <c r="L42" i="13"/>
  <c r="M42" i="13" s="1"/>
  <c r="M41" i="13"/>
  <c r="Y41" i="13" s="1"/>
  <c r="AC41" i="13" s="1"/>
  <c r="R38" i="13"/>
  <c r="G42" i="13"/>
  <c r="H42" i="13" s="1"/>
  <c r="H41" i="13"/>
  <c r="G43" i="13" l="1"/>
  <c r="H43" i="13" s="1"/>
  <c r="N47" i="13"/>
  <c r="T41" i="13"/>
  <c r="X41" i="13" s="1"/>
  <c r="Q41" i="13"/>
  <c r="Q42" i="13" s="1"/>
  <c r="R39" i="13"/>
  <c r="L43" i="13"/>
  <c r="M43" i="13" s="1"/>
  <c r="N48" i="13" l="1"/>
  <c r="AD41" i="13"/>
  <c r="AH41" i="13" s="1"/>
  <c r="R42" i="13"/>
  <c r="R41" i="13"/>
  <c r="AI41" i="13" l="1"/>
  <c r="AM41" i="13" s="1"/>
  <c r="V34" i="13"/>
  <c r="Q43" i="13"/>
  <c r="R43" i="13" s="1"/>
  <c r="AN41" i="13" l="1"/>
  <c r="AR41" i="13" s="1"/>
  <c r="V35" i="13" l="1"/>
  <c r="V37" i="13" s="1"/>
</calcChain>
</file>

<file path=xl/sharedStrings.xml><?xml version="1.0" encoding="utf-8"?>
<sst xmlns="http://schemas.openxmlformats.org/spreadsheetml/2006/main" count="180" uniqueCount="111">
  <si>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</si>
  <si>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</si>
  <si>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</si>
  <si>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</si>
  <si>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</si>
  <si>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</si>
  <si>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</si>
  <si>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</si>
  <si>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</si>
  <si>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</si>
  <si>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</si>
  <si>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</si>
  <si>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</si>
  <si>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/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</si>
  <si>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</si>
  <si>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</si>
  <si>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</si>
  <si>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</si>
  <si>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</si>
  <si>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</si>
  <si>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</si>
  <si>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</si>
  <si>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</si>
  <si>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ИТОГО ПО ГЛАВЕ 12</t>
  </si>
  <si>
    <t>ИТОГО ПО ГЛАВАМ 1- 12</t>
  </si>
  <si>
    <t>ИТОГО</t>
  </si>
  <si>
    <t>ВСЕГО БЕЗ НДС</t>
  </si>
  <si>
    <t>ИТОГО ПО СВОДНОМ СМЕТНОМУ РАСЧЕТУ</t>
  </si>
  <si>
    <t>"СОГЛАСОВАНО"</t>
  </si>
  <si>
    <t>Начальник управления капитального строительства</t>
  </si>
  <si>
    <t>ТЫС. РУБЛЕЙ без НДС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</si>
  <si>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</si>
  <si>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</si>
  <si>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</si>
  <si>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</si>
  <si>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</si>
  <si>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</si>
  <si>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</si>
  <si>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</si>
  <si>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</si>
  <si>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</si>
  <si>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</si>
  <si>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</si>
  <si>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</si>
  <si>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</si>
  <si>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ГСН 81-05-01-2001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</si>
  <si>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</si>
  <si>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</si>
  <si>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</si>
  <si>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</si>
  <si>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</si>
  <si>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</si>
  <si>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</si>
  <si>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</si>
  <si>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</si>
  <si>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</si>
  <si>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</si>
  <si>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</si>
  <si>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 xml:space="preserve">Проверил:                                                                                               А.М.Запрягаев      </t>
  </si>
  <si>
    <t>/В.Ю.Размыслов/</t>
  </si>
  <si>
    <t>А.А. Воронов</t>
  </si>
  <si>
    <t>/А.А. Воронов/</t>
  </si>
  <si>
    <t>______________________________ /В.Ю.Размыслов/</t>
  </si>
  <si>
    <t>Утвержденная сметная стоимость  строительства объекта  (в ценах 3 квартала 2018)</t>
  </si>
  <si>
    <t>НДС 20%</t>
  </si>
  <si>
    <t>Непредвиденные работы и затраты  3%</t>
  </si>
  <si>
    <t xml:space="preserve">Ведущий инженер СПС УКС </t>
  </si>
  <si>
    <t>2020 год</t>
  </si>
  <si>
    <t>2017 год</t>
  </si>
  <si>
    <t>%</t>
  </si>
  <si>
    <t>Ведущий инженер</t>
  </si>
  <si>
    <t xml:space="preserve">Проверил: </t>
  </si>
  <si>
    <t>П-мо М.Тр.Р.Ф.,Госстр. Р.Ф.от10.10.91№ 1336-ВК/1-Д</t>
  </si>
  <si>
    <t>СТРОИТЕЛЬНЫЙ КОНТРОЛЬ (%=2.14)</t>
  </si>
  <si>
    <t>ПРОЕКТНЫЕ РАБОТЫ</t>
  </si>
  <si>
    <t>МДС 81-35.2004</t>
  </si>
  <si>
    <t>Итого по главам 1-4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</si>
  <si>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</si>
  <si>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</si>
  <si>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</t>
  </si>
  <si>
    <t>Составлен в базисных ценах 2001 года с пересчетом в текущие цены на 2019 год</t>
  </si>
  <si>
    <t>Разработал:                                                                                             М.В. Шмотов</t>
  </si>
  <si>
    <t xml:space="preserve">Плановая стоимость объекта в прогнозных ценах 2019 года  относительно уровня 4 квартала 2017 года </t>
  </si>
  <si>
    <t>М.В. Шмотов</t>
  </si>
  <si>
    <t>Глава 2. ОСНОВНЫЕ ОБЬЕКТЫ СТРОИТЕЛЬСТВА</t>
  </si>
  <si>
    <t>ИТОГО ПО ГЛАВЕ 2</t>
  </si>
  <si>
    <t>ЗАТРАТЫ,СВЯЗАННЫЕ С ПРЕМИРОВАНИЕМ ЗА ВВОД ПОСТРОЕННЫХ ОБЪЕКТОВ   (%= 2.45)</t>
  </si>
  <si>
    <t>Постановление правительства РФ №468 от 21.06.2010</t>
  </si>
  <si>
    <t>Стоимость строительства в ценах на период строительства в 2019 году</t>
  </si>
  <si>
    <t>Расчет командировочных расходов</t>
  </si>
  <si>
    <t>Командировочные расходы</t>
  </si>
  <si>
    <t>БЛОК 1
Утвержденная сметная стоимость  строительства объекта  (в ценах 4 квартала 2016)</t>
  </si>
  <si>
    <t>ЛСР №02-01-04</t>
  </si>
  <si>
    <t>ВЛ 110 кВ №178/179 Ёдва - Усогорск с отпайкой на ПС «Чернутьево» (ВЛ-178)</t>
  </si>
  <si>
    <t>СРЕДСТВА НА ВОЗВЕДЕНИЕ, РАЗБОРКУ ВРЕМЕННЫХ ЗДАНИЙ,СООРУЖЕНИЙ (3,3%)</t>
  </si>
  <si>
    <t>Факт. затраты Справка форма КС-3 №47 от 16.08.2019, Справка форма КС-3 №6 от 31.01.2019, Справка форма КС-3 №8 от 08.02.2019, Справка форма КС-3 №98 от 25.12.2018</t>
  </si>
  <si>
    <t xml:space="preserve">Средства на возведение, разборку временных зданий и сооружений, %=3,3% </t>
  </si>
  <si>
    <t>Стоимость строительства в ценах на период строительства в 2019 году в соответствии с инвестиционной программой</t>
  </si>
  <si>
    <t>сумма по ИПР на торги</t>
  </si>
  <si>
    <t>факт затраты 2019 года</t>
  </si>
  <si>
    <t>'С учетом индексов-дефляторов 2025</t>
  </si>
  <si>
    <t>Индексы - дефляторы МЭР по строке "Капвложения" на 2025 год (указать период выпуска)</t>
  </si>
  <si>
    <t>Стоимость строительства в ценах на период строительства в 2025 году</t>
  </si>
  <si>
    <t>Заместитель директора
по инвестиционной деятельности
филиала ПАО "МРСК Северо-Запада" в Республике Коми</t>
  </si>
  <si>
    <t>Индексы на 4 квартал 2019 года 
Письмо Минстроя РФ от 17.05.2019 №17798-ДВ/09</t>
  </si>
  <si>
    <t>Стоимость строительства в ценах 4 квартала 2019 года</t>
  </si>
  <si>
    <t xml:space="preserve">БЛОК 3                                                                                                   
Плановая стоимость объекта в прогнозных ценах 2025 года  относительно уровня 4 квартала 2017 года </t>
  </si>
  <si>
    <t>Факт. затраты без учета % по кредиту</t>
  </si>
  <si>
    <t>Начальник управления капитального строительства
филиала ПАО "МРСК Северо-Запада"</t>
  </si>
  <si>
    <t>Сметный расчет I_004-55-1-01.12-1314 «Реконструкция ВЛ 110 кВ №178/179 Ёдва - Усогорск с отпайкой на ПС "Чернутьево" (ВЛ-178) в части расширения просек в Удорском районе Республики Коми в объеме 139,794 га (ЮЭС)»</t>
  </si>
  <si>
    <t>I_004-55-1-01.12-1314 «Реконструкция ВЛ 110 кВ №178/179 Ёдва - Усогорск с отпайкой на ПС "Чернутьево" (ВЛ-178) в части расширения просек в Удорском районе Республики Коми в объеме 139,794 га (ЮЭС)»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</si>
</sst>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_р_."/>
    <numFmt numFmtId="169" formatCode="#,##0.00000"/>
    <numFmt numFmtId="170" formatCode="#,##0.00_р_."/>
    <numFmt numFmtId="171" formatCode="#,##0.000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8"/>
      <name val="Verdana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39" fillId="0" borderId="0">
      <alignment vertical="top"/>
      <protection locked="0"/>
    </xf>
  </cellStyleXfs>
  <cellXfs count="366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3" xfId="3" applyFont="1" applyBorder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6" fillId="0" borderId="3" xfId="24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49" fontId="26" fillId="0" borderId="3" xfId="21" applyNumberFormat="1" applyFont="1" applyFill="1" applyBorder="1" applyAlignment="1">
      <alignment horizontal="left" vertical="center" wrapText="1"/>
    </xf>
    <xf numFmtId="0" fontId="26" fillId="0" borderId="3" xfId="27" applyFont="1" applyFill="1" applyBorder="1" applyAlignment="1">
      <alignment horizontal="left" vertical="top" wrapText="1"/>
    </xf>
    <xf numFmtId="165" fontId="26" fillId="0" borderId="3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165" fontId="25" fillId="0" borderId="3" xfId="29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6" fillId="0" borderId="9" xfId="29" applyNumberFormat="1" applyFont="1" applyFill="1" applyBorder="1" applyAlignment="1">
      <alignment horizontal="right" vertical="top" wrapText="1"/>
    </xf>
    <xf numFmtId="165" fontId="26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6" fillId="0" borderId="10" xfId="29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0" borderId="9" xfId="24" applyNumberFormat="1" applyFont="1" applyBorder="1" applyAlignment="1">
      <alignment horizontal="center" vertical="center" wrapText="1"/>
    </xf>
    <xf numFmtId="165" fontId="26" fillId="0" borderId="11" xfId="29" applyNumberFormat="1" applyFont="1" applyFill="1" applyBorder="1" applyAlignment="1">
      <alignment horizontal="right" vertical="top" wrapText="1"/>
    </xf>
    <xf numFmtId="165" fontId="26" fillId="0" borderId="12" xfId="29" applyNumberFormat="1" applyFont="1" applyFill="1" applyBorder="1" applyAlignment="1">
      <alignment horizontal="right" vertical="top"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165" fontId="26" fillId="2" borderId="9" xfId="29" applyNumberFormat="1" applyFont="1" applyFill="1" applyBorder="1" applyAlignment="1">
      <alignment horizontal="right" vertical="top" wrapText="1"/>
    </xf>
    <xf numFmtId="165" fontId="26" fillId="2" borderId="3" xfId="29" applyNumberFormat="1" applyFont="1" applyFill="1" applyBorder="1" applyAlignment="1">
      <alignment horizontal="right" vertical="top" wrapText="1"/>
    </xf>
    <xf numFmtId="165" fontId="26" fillId="2" borderId="10" xfId="29" applyNumberFormat="1" applyFont="1" applyFill="1" applyBorder="1" applyAlignment="1">
      <alignment horizontal="right" vertical="top" wrapText="1"/>
    </xf>
    <xf numFmtId="165" fontId="26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5" fillId="0" borderId="3" xfId="30" applyNumberFormat="1" applyFont="1" applyFill="1" applyBorder="1" applyAlignment="1">
      <alignment horizontal="right" vertical="top" wrapText="1"/>
    </xf>
    <xf numFmtId="165" fontId="25" fillId="0" borderId="10" xfId="30" applyNumberFormat="1" applyFont="1" applyFill="1" applyBorder="1" applyAlignment="1">
      <alignment horizontal="right" vertical="top" wrapText="1"/>
    </xf>
    <xf numFmtId="165" fontId="25" fillId="0" borderId="3" xfId="29" applyNumberFormat="1" applyFont="1" applyFill="1" applyBorder="1" applyAlignment="1">
      <alignment horizontal="right" vertical="top" wrapText="1"/>
    </xf>
    <xf numFmtId="165" fontId="26" fillId="2" borderId="14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9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71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5" fillId="0" borderId="9" xfId="29" applyNumberFormat="1" applyFont="1" applyFill="1" applyBorder="1" applyAlignment="1">
      <alignment horizontal="right" vertical="top" wrapText="1"/>
    </xf>
    <xf numFmtId="0" fontId="23" fillId="0" borderId="0" xfId="9" applyFont="1" applyBorder="1" applyAlignment="1">
      <alignment vertical="center" wrapText="1"/>
    </xf>
    <xf numFmtId="164" fontId="25" fillId="0" borderId="3" xfId="30" applyNumberFormat="1" applyFont="1" applyFill="1" applyBorder="1" applyAlignment="1">
      <alignment horizontal="right" vertical="top" wrapText="1"/>
    </xf>
    <xf numFmtId="165" fontId="26" fillId="0" borderId="14" xfId="23" applyNumberFormat="1" applyFont="1" applyFill="1" applyBorder="1" applyAlignment="1">
      <alignment vertical="center" wrapText="1"/>
    </xf>
    <xf numFmtId="165" fontId="26" fillId="0" borderId="3" xfId="23" applyNumberFormat="1" applyFont="1" applyFill="1" applyBorder="1" applyAlignment="1">
      <alignment vertical="center" wrapText="1"/>
    </xf>
    <xf numFmtId="165" fontId="26" fillId="0" borderId="3" xfId="29" applyNumberFormat="1" applyFont="1" applyFill="1" applyBorder="1" applyAlignment="1">
      <alignment vertical="top" wrapText="1"/>
    </xf>
    <xf numFmtId="165" fontId="25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26" fillId="0" borderId="10" xfId="28" applyFont="1" applyFill="1" applyBorder="1" applyAlignment="1">
      <alignment horizontal="left" vertical="top" wrapText="1"/>
    </xf>
    <xf numFmtId="166" fontId="8" fillId="0" borderId="0" xfId="8" applyNumberFormat="1" applyFont="1" applyFill="1" applyBorder="1" applyAlignment="1">
      <alignment vertical="center" wrapText="1"/>
    </xf>
    <xf numFmtId="165" fontId="26" fillId="0" borderId="5" xfId="29" applyNumberFormat="1" applyFont="1" applyFill="1" applyBorder="1" applyAlignment="1">
      <alignment vertical="top" wrapText="1"/>
    </xf>
    <xf numFmtId="165" fontId="25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5" fontId="26" fillId="2" borderId="16" xfId="29" applyNumberFormat="1" applyFont="1" applyFill="1" applyBorder="1" applyAlignment="1">
      <alignment horizontal="right" vertical="top" wrapText="1"/>
    </xf>
    <xf numFmtId="0" fontId="38" fillId="6" borderId="3" xfId="3" applyFont="1" applyFill="1" applyBorder="1" applyAlignment="1">
      <alignment horizontal="center" vertical="center" wrapText="1"/>
    </xf>
    <xf numFmtId="169" fontId="11" fillId="0" borderId="14" xfId="29" applyNumberFormat="1" applyFont="1" applyFill="1" applyBorder="1" applyAlignment="1">
      <alignment horizontal="right" vertical="top" wrapText="1"/>
    </xf>
    <xf numFmtId="169" fontId="11" fillId="0" borderId="3" xfId="29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6" fillId="0" borderId="3" xfId="29" applyNumberFormat="1" applyFont="1" applyFill="1" applyBorder="1" applyAlignment="1">
      <alignment horizontal="right" vertical="top" wrapText="1"/>
    </xf>
    <xf numFmtId="164" fontId="25" fillId="0" borderId="9" xfId="30" applyNumberFormat="1" applyFont="1" applyFill="1" applyBorder="1" applyAlignment="1">
      <alignment horizontal="right" vertical="top" wrapText="1"/>
    </xf>
    <xf numFmtId="164" fontId="26" fillId="0" borderId="14" xfId="29" applyNumberFormat="1" applyFont="1" applyFill="1" applyBorder="1" applyAlignment="1">
      <alignment horizontal="right" vertical="top" wrapText="1"/>
    </xf>
    <xf numFmtId="170" fontId="26" fillId="0" borderId="3" xfId="23" applyNumberFormat="1" applyFont="1" applyFill="1" applyBorder="1" applyAlignment="1">
      <alignment horizontal="right" vertical="center" wrapText="1"/>
    </xf>
    <xf numFmtId="170" fontId="26" fillId="0" borderId="10" xfId="24" applyNumberFormat="1" applyFont="1" applyFill="1" applyBorder="1" applyAlignment="1">
      <alignment horizontal="right" vertical="center" wrapText="1"/>
    </xf>
    <xf numFmtId="168" fontId="26" fillId="0" borderId="9" xfId="23" applyNumberFormat="1" applyFont="1" applyFill="1" applyBorder="1" applyAlignment="1">
      <alignment horizontal="right" vertical="center" wrapText="1"/>
    </xf>
    <xf numFmtId="168" fontId="26" fillId="0" borderId="3" xfId="23" applyNumberFormat="1" applyFont="1" applyFill="1" applyBorder="1" applyAlignment="1">
      <alignment horizontal="right" vertical="center" wrapText="1"/>
    </xf>
    <xf numFmtId="168" fontId="26" fillId="0" borderId="10" xfId="24" applyNumberFormat="1" applyFont="1" applyFill="1" applyBorder="1" applyAlignment="1">
      <alignment horizontal="right" vertical="center" wrapText="1"/>
    </xf>
    <xf numFmtId="168" fontId="26" fillId="0" borderId="14" xfId="24" applyNumberFormat="1" applyFont="1" applyFill="1" applyBorder="1" applyAlignment="1">
      <alignment horizontal="right" vertical="center" wrapText="1"/>
    </xf>
    <xf numFmtId="168" fontId="26" fillId="0" borderId="3" xfId="24" applyNumberFormat="1" applyFont="1" applyFill="1" applyBorder="1" applyAlignment="1">
      <alignment horizontal="right" vertical="center" wrapText="1"/>
    </xf>
    <xf numFmtId="168" fontId="25" fillId="0" borderId="3" xfId="3" applyNumberFormat="1" applyFont="1" applyFill="1" applyBorder="1" applyAlignment="1">
      <alignment horizontal="right" vertical="center" wrapText="1"/>
    </xf>
    <xf numFmtId="164" fontId="25" fillId="0" borderId="10" xfId="3" applyNumberFormat="1" applyFont="1" applyFill="1" applyBorder="1" applyAlignment="1">
      <alignment horizontal="right" vertical="center" wrapText="1"/>
    </xf>
    <xf numFmtId="168" fontId="26" fillId="0" borderId="14" xfId="23" applyNumberFormat="1" applyFont="1" applyFill="1" applyBorder="1" applyAlignment="1">
      <alignment horizontal="right" vertical="center" wrapText="1"/>
    </xf>
    <xf numFmtId="164" fontId="26" fillId="0" borderId="10" xfId="24" applyNumberFormat="1" applyFont="1" applyFill="1" applyBorder="1" applyAlignment="1">
      <alignment horizontal="right" vertical="center" wrapText="1"/>
    </xf>
    <xf numFmtId="165" fontId="26" fillId="0" borderId="10" xfId="23" applyNumberFormat="1" applyFont="1" applyFill="1" applyBorder="1" applyAlignment="1">
      <alignment vertical="center" wrapText="1"/>
    </xf>
    <xf numFmtId="165" fontId="11" fillId="0" borderId="10" xfId="30" applyNumberFormat="1" applyFont="1" applyFill="1" applyBorder="1" applyAlignment="1">
      <alignment vertical="top" wrapText="1"/>
    </xf>
    <xf numFmtId="165" fontId="11" fillId="0" borderId="10" xfId="25" quotePrefix="1" applyNumberFormat="1" applyFont="1" applyFill="1" applyBorder="1" applyAlignment="1">
      <alignment vertical="top" wrapText="1"/>
    </xf>
    <xf numFmtId="165" fontId="26" fillId="0" borderId="10" xfId="30" applyNumberFormat="1" applyFont="1" applyFill="1" applyBorder="1" applyAlignment="1">
      <alignment vertical="top" wrapText="1"/>
    </xf>
    <xf numFmtId="165" fontId="26" fillId="0" borderId="4" xfId="29" applyNumberFormat="1" applyFont="1" applyFill="1" applyBorder="1" applyAlignment="1">
      <alignment vertical="top" wrapText="1"/>
    </xf>
    <xf numFmtId="165" fontId="11" fillId="0" borderId="10" xfId="25" quotePrefix="1" applyNumberFormat="1" applyFont="1" applyFill="1" applyBorder="1" applyAlignment="1">
      <alignment horizontal="right" vertical="top" wrapText="1"/>
    </xf>
    <xf numFmtId="165" fontId="11" fillId="2" borderId="14" xfId="29" applyNumberFormat="1" applyFont="1" applyFill="1" applyBorder="1" applyAlignment="1">
      <alignment horizontal="right" vertical="top" wrapText="1"/>
    </xf>
    <xf numFmtId="165" fontId="11" fillId="2" borderId="3" xfId="29" applyNumberFormat="1" applyFont="1" applyFill="1" applyBorder="1" applyAlignment="1">
      <alignment horizontal="right" vertical="top" wrapText="1"/>
    </xf>
    <xf numFmtId="165" fontId="11" fillId="2" borderId="34" xfId="29" applyNumberFormat="1" applyFont="1" applyFill="1" applyBorder="1" applyAlignment="1">
      <alignment horizontal="right" vertical="top" wrapText="1"/>
    </xf>
    <xf numFmtId="165" fontId="26" fillId="0" borderId="13" xfId="29" applyNumberFormat="1" applyFont="1" applyFill="1" applyBorder="1" applyAlignment="1">
      <alignment horizontal="right" vertical="top" wrapText="1"/>
    </xf>
    <xf numFmtId="169" fontId="1" fillId="0" borderId="0" xfId="8" applyNumberFormat="1" applyFont="1"/>
    <xf numFmtId="169" fontId="28" fillId="0" borderId="3" xfId="8" applyNumberFormat="1" applyFont="1" applyBorder="1" applyAlignment="1">
      <alignment horizontal="center" vertical="center" wrapText="1"/>
    </xf>
    <xf numFmtId="169" fontId="16" fillId="0" borderId="3" xfId="8" applyNumberFormat="1" applyFont="1" applyBorder="1" applyAlignment="1">
      <alignment horizontal="center" vertical="center" wrapText="1"/>
    </xf>
    <xf numFmtId="169" fontId="1" fillId="0" borderId="3" xfId="8" applyNumberFormat="1" applyFont="1" applyBorder="1" applyAlignment="1">
      <alignment horizontal="center"/>
    </xf>
    <xf numFmtId="165" fontId="25" fillId="0" borderId="5" xfId="30" applyNumberFormat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4" fillId="0" borderId="9" xfId="31" applyNumberFormat="1" applyFont="1" applyFill="1" applyBorder="1" applyAlignment="1">
      <alignment horizontal="right" vertical="top" wrapText="1"/>
    </xf>
    <xf numFmtId="0" fontId="14" fillId="0" borderId="3" xfId="37" quotePrefix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wrapText="1"/>
    </xf>
    <xf numFmtId="0" fontId="26" fillId="2" borderId="4" xfId="33" applyFont="1" applyFill="1" applyBorder="1" applyAlignment="1">
      <alignment horizontal="left" vertical="top" wrapText="1"/>
    </xf>
    <xf numFmtId="0" fontId="25" fillId="0" borderId="0" xfId="43" applyFont="1" applyAlignment="1" applyProtection="1">
      <alignment horizontal="left" vertical="center" wrapText="1"/>
      <protection locked="0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165" fontId="25" fillId="4" borderId="4" xfId="41" quotePrefix="1" applyNumberFormat="1" applyFont="1" applyFill="1" applyBorder="1" applyAlignment="1">
      <alignment horizontal="center" vertical="center" wrapText="1"/>
    </xf>
    <xf numFmtId="165" fontId="25" fillId="4" borderId="5" xfId="41" quotePrefix="1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166" fontId="19" fillId="0" borderId="0" xfId="42" applyNumberFormat="1" applyFont="1" applyFill="1" applyBorder="1" applyAlignment="1">
      <alignment horizontal="left" vertical="center" wrapText="1"/>
    </xf>
    <xf numFmtId="166" fontId="19" fillId="0" borderId="0" xfId="42" applyNumberFormat="1" applyFont="1" applyFill="1" applyBorder="1" applyAlignment="1">
      <alignment horizontal="left" wrapText="1"/>
    </xf>
    <xf numFmtId="0" fontId="21" fillId="0" borderId="0" xfId="8" applyFont="1" applyAlignment="1">
      <alignment horizontal="left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3" fillId="0" borderId="0" xfId="9" applyFont="1" applyBorder="1" applyAlignment="1">
      <alignment horizontal="center" vertical="center" wrapText="1"/>
    </xf>
    <xf numFmtId="0" fontId="5" fillId="0" borderId="0" xfId="14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" fillId="0" borderId="0" xfId="1" quotePrefix="1" applyFill="1" applyBorder="1" applyAlignment="1">
      <alignment vertical="top" wrapText="1"/>
    </xf>
    <xf numFmtId="0" fontId="2" fillId="0" borderId="0" xfId="1" quotePrefix="1" applyFill="1" applyBorder="1" applyAlignment="1">
      <alignment horizontal="center" vertical="center" wrapText="1"/>
    </xf>
    <xf numFmtId="0" fontId="7" fillId="0" borderId="0" xfId="8" applyFont="1" applyFill="1" applyAlignment="1">
      <alignment horizontal="right"/>
    </xf>
    <xf numFmtId="0" fontId="0" fillId="0" borderId="0" xfId="0" applyFill="1"/>
    <xf numFmtId="0" fontId="8" fillId="0" borderId="0" xfId="8" applyFont="1" applyFill="1" applyAlignment="1">
      <alignment horizontal="right" vertical="top" wrapText="1"/>
    </xf>
    <xf numFmtId="0" fontId="5" fillId="0" borderId="0" xfId="4" quotePrefix="1" applyFill="1" applyBorder="1" applyAlignment="1">
      <alignment vertical="top" wrapText="1"/>
    </xf>
    <xf numFmtId="0" fontId="5" fillId="0" borderId="0" xfId="4" applyFill="1" applyBorder="1" applyAlignment="1">
      <alignment horizontal="center" vertical="center" wrapText="1"/>
    </xf>
    <xf numFmtId="0" fontId="5" fillId="0" borderId="0" xfId="5" quotePrefix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5" fillId="0" borderId="0" xfId="6" quotePrefix="1" applyFill="1" applyBorder="1" applyAlignment="1">
      <alignment vertical="top" wrapText="1"/>
    </xf>
    <xf numFmtId="0" fontId="5" fillId="0" borderId="0" xfId="6" applyFill="1" applyBorder="1" applyAlignment="1">
      <alignment vertical="top" wrapText="1"/>
    </xf>
    <xf numFmtId="0" fontId="5" fillId="0" borderId="1" xfId="6" applyFill="1" applyBorder="1" applyAlignment="1">
      <alignment vertical="top" wrapText="1"/>
    </xf>
    <xf numFmtId="0" fontId="32" fillId="0" borderId="0" xfId="6" applyFont="1" applyFill="1" applyBorder="1" applyAlignment="1">
      <alignment horizontal="right" wrapText="1"/>
    </xf>
    <xf numFmtId="0" fontId="33" fillId="0" borderId="0" xfId="7" applyFont="1" applyFill="1" applyBorder="1" applyAlignment="1">
      <alignment horizontal="center" vertical="center" wrapText="1"/>
    </xf>
    <xf numFmtId="0" fontId="5" fillId="0" borderId="0" xfId="7" quotePrefix="1" applyFill="1" applyBorder="1" applyAlignment="1">
      <alignment horizontal="left" vertical="top" wrapText="1"/>
    </xf>
    <xf numFmtId="0" fontId="5" fillId="0" borderId="0" xfId="7" applyFill="1" applyBorder="1" applyAlignment="1">
      <alignment horizontal="left" vertical="top" wrapText="1"/>
    </xf>
    <xf numFmtId="0" fontId="34" fillId="0" borderId="17" xfId="14" applyFont="1" applyFill="1" applyBorder="1" applyAlignment="1">
      <alignment horizontal="left" vertical="top" wrapText="1"/>
    </xf>
    <xf numFmtId="0" fontId="2" fillId="0" borderId="6" xfId="15" quotePrefix="1" applyFill="1" applyBorder="1" applyAlignment="1">
      <alignment horizontal="center" vertical="center" wrapText="1"/>
    </xf>
    <xf numFmtId="0" fontId="2" fillId="0" borderId="7" xfId="16" applyFill="1" applyBorder="1" applyAlignment="1">
      <alignment horizontal="center" vertical="center" wrapText="1"/>
    </xf>
    <xf numFmtId="0" fontId="2" fillId="0" borderId="18" xfId="17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35" fillId="0" borderId="21" xfId="19" quotePrefix="1" applyFont="1" applyFill="1" applyBorder="1" applyAlignment="1">
      <alignment horizontal="center" vertical="center" wrapText="1"/>
    </xf>
    <xf numFmtId="0" fontId="2" fillId="0" borderId="11" xfId="15" applyFill="1" applyBorder="1" applyAlignment="1">
      <alignment horizontal="center" vertical="center" wrapText="1"/>
    </xf>
    <xf numFmtId="0" fontId="2" fillId="0" borderId="12" xfId="16" applyFill="1" applyBorder="1" applyAlignment="1">
      <alignment horizontal="center" vertical="center" wrapText="1"/>
    </xf>
    <xf numFmtId="0" fontId="2" fillId="0" borderId="22" xfId="17" applyFill="1" applyBorder="1" applyAlignment="1">
      <alignment horizontal="center" vertical="center" wrapText="1"/>
    </xf>
    <xf numFmtId="0" fontId="35" fillId="0" borderId="23" xfId="18" quotePrefix="1" applyFont="1" applyFill="1" applyBorder="1" applyAlignment="1">
      <alignment horizontal="center" vertical="center" wrapText="1"/>
    </xf>
    <xf numFmtId="0" fontId="35" fillId="0" borderId="24" xfId="18" quotePrefix="1" applyFont="1" applyFill="1" applyBorder="1" applyAlignment="1">
      <alignment horizontal="center" vertical="center" wrapText="1"/>
    </xf>
    <xf numFmtId="0" fontId="35" fillId="0" borderId="25" xfId="18" quotePrefix="1" applyFont="1" applyFill="1" applyBorder="1" applyAlignment="1">
      <alignment horizontal="center" vertical="center" wrapText="1"/>
    </xf>
    <xf numFmtId="0" fontId="35" fillId="0" borderId="26" xfId="19" quotePrefix="1" applyFont="1" applyFill="1" applyBorder="1" applyAlignment="1">
      <alignment horizontal="center" vertical="center" wrapText="1"/>
    </xf>
    <xf numFmtId="0" fontId="14" fillId="0" borderId="23" xfId="20" applyNumberFormat="1" applyFont="1" applyFill="1" applyBorder="1" applyAlignment="1">
      <alignment horizontal="center" vertical="center" wrapText="1"/>
    </xf>
    <xf numFmtId="0" fontId="14" fillId="0" borderId="24" xfId="21" applyNumberFormat="1" applyFont="1" applyFill="1" applyBorder="1" applyAlignment="1">
      <alignment horizontal="center" vertical="center" wrapText="1"/>
    </xf>
    <xf numFmtId="0" fontId="14" fillId="0" borderId="27" xfId="22" applyNumberFormat="1" applyFont="1" applyFill="1" applyBorder="1" applyAlignment="1">
      <alignment horizontal="center" vertical="center" wrapText="1"/>
    </xf>
    <xf numFmtId="0" fontId="14" fillId="0" borderId="28" xfId="23" applyNumberFormat="1" applyFont="1" applyFill="1" applyBorder="1" applyAlignment="1">
      <alignment horizontal="center" vertical="center" wrapText="1"/>
    </xf>
    <xf numFmtId="0" fontId="14" fillId="0" borderId="29" xfId="23" applyNumberFormat="1" applyFont="1" applyFill="1" applyBorder="1" applyAlignment="1">
      <alignment horizontal="center" vertical="center" wrapText="1"/>
    </xf>
    <xf numFmtId="0" fontId="14" fillId="0" borderId="25" xfId="23" applyNumberFormat="1" applyFont="1" applyFill="1" applyBorder="1" applyAlignment="1">
      <alignment horizontal="center" vertical="center" wrapText="1"/>
    </xf>
    <xf numFmtId="0" fontId="14" fillId="0" borderId="30" xfId="24" applyNumberFormat="1" applyFont="1" applyFill="1" applyBorder="1" applyAlignment="1">
      <alignment horizontal="center" vertical="center" wrapText="1"/>
    </xf>
    <xf numFmtId="0" fontId="36" fillId="0" borderId="3" xfId="25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15" fillId="0" borderId="31" xfId="25" quotePrefix="1" applyNumberFormat="1" applyFill="1" applyBorder="1" applyAlignment="1">
      <alignment horizontal="left" vertical="top" wrapText="1"/>
    </xf>
    <xf numFmtId="164" fontId="15" fillId="0" borderId="16" xfId="25" quotePrefix="1" applyNumberFormat="1" applyFill="1" applyBorder="1" applyAlignment="1">
      <alignment horizontal="left" vertical="top" wrapText="1"/>
    </xf>
    <xf numFmtId="164" fontId="15" fillId="0" borderId="32" xfId="25" quotePrefix="1" applyNumberFormat="1" applyFill="1" applyBorder="1" applyAlignment="1">
      <alignment horizontal="left" vertical="top" wrapText="1"/>
    </xf>
    <xf numFmtId="0" fontId="31" fillId="0" borderId="3" xfId="26" applyNumberFormat="1" applyFont="1" applyFill="1" applyBorder="1" applyAlignment="1">
      <alignment horizontal="center" vertical="top" wrapText="1"/>
    </xf>
    <xf numFmtId="4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left" vertical="top" wrapText="1"/>
      <protection locked="0"/>
    </xf>
    <xf numFmtId="164" fontId="25" fillId="0" borderId="10" xfId="30" applyNumberFormat="1" applyFont="1" applyFill="1" applyBorder="1" applyAlignment="1">
      <alignment horizontal="right" vertical="top" wrapText="1"/>
    </xf>
    <xf numFmtId="0" fontId="36" fillId="0" borderId="3" xfId="25" quotePrefix="1" applyFont="1" applyFill="1" applyBorder="1" applyAlignment="1">
      <alignment horizontal="left" vertical="top" wrapText="1"/>
    </xf>
    <xf numFmtId="164" fontId="11" fillId="0" borderId="14" xfId="25" quotePrefix="1" applyNumberFormat="1" applyFont="1" applyFill="1" applyBorder="1" applyAlignment="1">
      <alignment horizontal="left" vertical="top" wrapText="1"/>
    </xf>
    <xf numFmtId="164" fontId="11" fillId="0" borderId="3" xfId="25" quotePrefix="1" applyNumberFormat="1" applyFont="1" applyFill="1" applyBorder="1" applyAlignment="1">
      <alignment horizontal="left" vertical="top" wrapText="1"/>
    </xf>
    <xf numFmtId="164" fontId="11" fillId="0" borderId="10" xfId="25" quotePrefix="1" applyNumberFormat="1" applyFont="1" applyFill="1" applyBorder="1" applyAlignment="1">
      <alignment horizontal="left" vertical="top" wrapText="1"/>
    </xf>
    <xf numFmtId="165" fontId="11" fillId="0" borderId="34" xfId="25" quotePrefix="1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 applyProtection="1">
      <alignment horizontal="left" vertical="center" wrapText="1"/>
      <protection locked="0"/>
    </xf>
    <xf numFmtId="165" fontId="25" fillId="0" borderId="34" xfId="30" applyNumberFormat="1" applyFont="1" applyFill="1" applyBorder="1" applyAlignment="1">
      <alignment horizontal="right" vertical="top" wrapText="1"/>
    </xf>
    <xf numFmtId="0" fontId="31" fillId="0" borderId="3" xfId="31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14" xfId="29" applyNumberFormat="1" applyFont="1" applyFill="1" applyBorder="1" applyAlignment="1">
      <alignment horizontal="right" vertical="top" wrapText="1"/>
    </xf>
    <xf numFmtId="0" fontId="31" fillId="0" borderId="3" xfId="31" applyFont="1" applyFill="1" applyBorder="1" applyAlignment="1">
      <alignment horizontal="center" vertical="top" wrapText="1"/>
    </xf>
    <xf numFmtId="0" fontId="31" fillId="0" borderId="3" xfId="32" quotePrefix="1" applyFont="1" applyFill="1" applyBorder="1" applyAlignment="1">
      <alignment horizontal="center" vertical="center" wrapText="1"/>
    </xf>
    <xf numFmtId="0" fontId="31" fillId="0" borderId="4" xfId="35" applyFont="1" applyFill="1" applyBorder="1" applyAlignment="1">
      <alignment horizontal="left" vertical="top" wrapText="1"/>
    </xf>
    <xf numFmtId="165" fontId="12" fillId="0" borderId="14" xfId="29" applyNumberFormat="1" applyFont="1" applyFill="1" applyBorder="1" applyAlignment="1">
      <alignment horizontal="right" vertical="top" wrapText="1"/>
    </xf>
    <xf numFmtId="165" fontId="12" fillId="0" borderId="3" xfId="29" applyNumberFormat="1" applyFont="1" applyFill="1" applyBorder="1" applyAlignment="1">
      <alignment horizontal="right" vertical="top" wrapText="1"/>
    </xf>
    <xf numFmtId="165" fontId="12" fillId="0" borderId="34" xfId="30" applyNumberFormat="1" applyFont="1" applyFill="1" applyBorder="1" applyAlignment="1">
      <alignment horizontal="right" vertical="top" wrapText="1"/>
    </xf>
    <xf numFmtId="0" fontId="14" fillId="0" borderId="3" xfId="32" quotePrefix="1" applyFont="1" applyFill="1" applyBorder="1" applyAlignment="1">
      <alignment horizontal="center" vertical="center" wrapText="1"/>
    </xf>
    <xf numFmtId="0" fontId="14" fillId="0" borderId="9" xfId="31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165" fontId="12" fillId="0" borderId="10" xfId="30" applyNumberFormat="1" applyFont="1" applyFill="1" applyBorder="1" applyAlignment="1">
      <alignment horizontal="right" vertical="top" wrapText="1"/>
    </xf>
    <xf numFmtId="165" fontId="8" fillId="0" borderId="14" xfId="0" applyNumberFormat="1" applyFont="1" applyFill="1" applyBorder="1"/>
    <xf numFmtId="165" fontId="8" fillId="0" borderId="3" xfId="0" applyNumberFormat="1" applyFont="1" applyFill="1" applyBorder="1"/>
    <xf numFmtId="0" fontId="41" fillId="0" borderId="4" xfId="0" applyFont="1" applyFill="1" applyBorder="1" applyAlignment="1">
      <alignment wrapText="1"/>
    </xf>
    <xf numFmtId="165" fontId="42" fillId="0" borderId="14" xfId="29" applyNumberFormat="1" applyFont="1" applyFill="1" applyBorder="1" applyAlignment="1">
      <alignment horizontal="right" vertical="top" wrapText="1"/>
    </xf>
    <xf numFmtId="165" fontId="42" fillId="0" borderId="3" xfId="29" applyNumberFormat="1" applyFont="1" applyFill="1" applyBorder="1" applyAlignment="1">
      <alignment horizontal="right" vertical="top" wrapText="1"/>
    </xf>
    <xf numFmtId="169" fontId="42" fillId="0" borderId="10" xfId="30" applyNumberFormat="1" applyFont="1" applyFill="1" applyBorder="1" applyAlignment="1">
      <alignment horizontal="right" vertical="top" wrapText="1"/>
    </xf>
    <xf numFmtId="0" fontId="40" fillId="0" borderId="0" xfId="0" applyFont="1" applyFill="1"/>
    <xf numFmtId="169" fontId="8" fillId="0" borderId="14" xfId="0" applyNumberFormat="1" applyFont="1" applyFill="1" applyBorder="1"/>
    <xf numFmtId="169" fontId="8" fillId="0" borderId="3" xfId="0" applyNumberFormat="1" applyFont="1" applyFill="1" applyBorder="1"/>
    <xf numFmtId="169" fontId="25" fillId="0" borderId="10" xfId="30" applyNumberFormat="1" applyFont="1" applyFill="1" applyBorder="1" applyAlignment="1">
      <alignment horizontal="right" vertical="top" wrapText="1"/>
    </xf>
    <xf numFmtId="169" fontId="12" fillId="0" borderId="10" xfId="30" applyNumberFormat="1" applyFont="1" applyFill="1" applyBorder="1" applyAlignment="1">
      <alignment horizontal="right" vertical="top" wrapText="1"/>
    </xf>
    <xf numFmtId="165" fontId="12" fillId="0" borderId="11" xfId="29" applyNumberFormat="1" applyFont="1" applyFill="1" applyBorder="1" applyAlignment="1">
      <alignment horizontal="right" vertical="top" wrapText="1"/>
    </xf>
    <xf numFmtId="165" fontId="12" fillId="0" borderId="12" xfId="29" applyNumberFormat="1" applyFont="1" applyFill="1" applyBorder="1" applyAlignment="1">
      <alignment horizontal="right" vertical="top" wrapText="1"/>
    </xf>
    <xf numFmtId="169" fontId="12" fillId="0" borderId="12" xfId="29" applyNumberFormat="1" applyFont="1" applyFill="1" applyBorder="1" applyAlignment="1">
      <alignment horizontal="right" vertical="top" wrapText="1"/>
    </xf>
    <xf numFmtId="0" fontId="14" fillId="0" borderId="0" xfId="38" quotePrefix="1" applyFill="1" applyAlignment="1">
      <alignment horizontal="left" wrapText="1"/>
    </xf>
    <xf numFmtId="0" fontId="18" fillId="0" borderId="33" xfId="39" quotePrefix="1" applyFill="1" applyBorder="1" applyAlignment="1">
      <alignment vertical="top" wrapText="1"/>
    </xf>
    <xf numFmtId="0" fontId="18" fillId="0" borderId="33" xfId="39" applyFill="1" applyBorder="1" applyAlignment="1">
      <alignment vertical="top" wrapText="1"/>
    </xf>
    <xf numFmtId="0" fontId="18" fillId="0" borderId="0" xfId="40" quotePrefix="1" applyFill="1" applyAlignment="1">
      <alignment horizontal="left" vertical="top" wrapText="1"/>
    </xf>
    <xf numFmtId="0" fontId="18" fillId="0" borderId="0" xfId="40" applyFill="1" applyAlignment="1">
      <alignment horizontal="left" vertical="top" wrapText="1"/>
    </xf>
    <xf numFmtId="0" fontId="18" fillId="0" borderId="0" xfId="41" quotePrefix="1" applyFill="1" applyAlignment="1">
      <alignment horizontal="left" vertical="top" wrapText="1"/>
    </xf>
    <xf numFmtId="0" fontId="18" fillId="0" borderId="0" xfId="41" applyFill="1" applyAlignment="1">
      <alignment horizontal="left" vertical="top" wrapText="1"/>
    </xf>
    <xf numFmtId="0" fontId="0" fillId="0" borderId="0" xfId="0" applyFill="1" applyAlignment="1">
      <alignment vertical="center" wrapText="1"/>
    </xf>
    <xf numFmtId="0" fontId="7" fillId="0" borderId="0" xfId="8" applyFont="1" applyFill="1" applyAlignment="1">
      <alignment horizontal="left" vertical="center"/>
    </xf>
    <xf numFmtId="0" fontId="8" fillId="0" borderId="0" xfId="8" applyFont="1" applyFill="1" applyAlignment="1">
      <alignment vertical="center"/>
    </xf>
    <xf numFmtId="0" fontId="8" fillId="0" borderId="0" xfId="0" applyFont="1" applyFill="1" applyAlignment="1">
      <alignment wrapText="1"/>
    </xf>
    <xf numFmtId="0" fontId="0" fillId="0" borderId="0" xfId="0" applyFill="1" applyAlignment="1"/>
    <xf numFmtId="0" fontId="37" fillId="0" borderId="0" xfId="43" applyFont="1" applyFill="1" applyAlignment="1" applyProtection="1">
      <alignment vertical="center" wrapText="1"/>
      <protection locked="0"/>
    </xf>
    <xf numFmtId="0" fontId="7" fillId="0" borderId="0" xfId="8" applyFont="1" applyFill="1" applyAlignment="1"/>
    <xf numFmtId="0" fontId="8" fillId="0" borderId="0" xfId="0" applyFont="1" applyFill="1"/>
    <xf numFmtId="0" fontId="37" fillId="0" borderId="0" xfId="43" applyFont="1" applyFill="1" applyAlignment="1" applyProtection="1">
      <alignment wrapText="1"/>
      <protection locked="0"/>
    </xf>
    <xf numFmtId="0" fontId="37" fillId="0" borderId="0" xfId="43" applyFont="1" applyFill="1" applyAlignment="1" applyProtection="1">
      <alignment horizontal="left" vertical="center"/>
      <protection locked="0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1085851</xdr:colOff>
      <xdr:row>45</xdr:row>
      <xdr:rowOff>95250</xdr:rowOff>
    </xdr:from>
    <xdr:to>
      <xdr:col>2</xdr:col>
      <xdr:colOff>2462769</xdr:colOff>
      <xdr:row>46</xdr:row>
      <xdr:rowOff>197644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824164" y="13632656"/>
          <a:ext cx="1376918" cy="578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51"/>
  <sheetViews>
    <sheetView tabSelected="1" view="pageBreakPreview" topLeftCell="A10" zoomScale="80" zoomScaleNormal="100" zoomScaleSheetLayoutView="80" workbookViewId="0">
      <selection activeCell="N31" sqref="N31"/>
    </sheetView>
  </sheetViews>
  <sheetFormatPr defaultRowHeight="12.75" x14ac:dyDescent="0.2"/>
  <cols>
    <col min="1" max="1" width="5" style="1" customWidth="1"/>
    <col min="2" max="2" width="21" style="1" customWidth="1"/>
    <col min="3" max="3" width="41.28515625" style="1" customWidth="1"/>
    <col min="4" max="4" width="12" style="1" customWidth="1"/>
    <col min="5" max="7" width="10.42578125" style="1" customWidth="1"/>
    <col min="8" max="8" width="11.85546875" style="1" customWidth="1"/>
    <col min="9" max="9" width="11" style="8" customWidth="1"/>
    <col min="10" max="13" width="10.42578125" style="8" customWidth="1"/>
    <col min="14" max="14" width="13" style="1" customWidth="1"/>
    <col min="15" max="15" width="13.7109375" style="1" customWidth="1"/>
    <col min="16" max="16" width="10.42578125" style="1" customWidth="1"/>
    <col min="17" max="17" width="11.7109375" style="1" bestFit="1" customWidth="1"/>
    <col min="18" max="18" width="15" style="1" customWidth="1"/>
    <col min="19" max="19" width="10.42578125" style="19" hidden="1" customWidth="1"/>
    <col min="20" max="20" width="11.42578125" style="1" hidden="1" customWidth="1"/>
    <col min="21" max="21" width="10.28515625" style="1" hidden="1" customWidth="1"/>
    <col min="22" max="22" width="13" style="1" hidden="1" customWidth="1"/>
    <col min="23" max="23" width="12.7109375" style="1" hidden="1" customWidth="1"/>
    <col min="24" max="24" width="11.42578125" style="1" hidden="1" customWidth="1"/>
    <col min="25" max="25" width="12.140625" style="1" hidden="1" customWidth="1"/>
    <col min="26" max="26" width="10.7109375" style="1" hidden="1" customWidth="1"/>
    <col min="27" max="29" width="11.140625" style="1" hidden="1" customWidth="1"/>
    <col min="30" max="30" width="13.85546875" style="1" hidden="1" customWidth="1"/>
    <col min="31" max="31" width="11.42578125" style="1" hidden="1" customWidth="1"/>
    <col min="32" max="32" width="12.140625" style="1" hidden="1" customWidth="1"/>
    <col min="33" max="33" width="13.7109375" style="1" hidden="1" customWidth="1"/>
    <col min="34" max="34" width="11.7109375" style="1" hidden="1" customWidth="1"/>
    <col min="35" max="35" width="13.7109375" style="1" hidden="1" customWidth="1"/>
    <col min="36" max="36" width="10" style="1" hidden="1" customWidth="1"/>
    <col min="37" max="37" width="12.140625" style="1" hidden="1" customWidth="1"/>
    <col min="38" max="38" width="12" style="1" hidden="1" customWidth="1"/>
    <col min="39" max="39" width="10.7109375" style="1" hidden="1" customWidth="1"/>
    <col min="40" max="44" width="0" style="1" hidden="1" customWidth="1"/>
    <col min="45" max="46" width="9.140625" style="1"/>
    <col min="47" max="47" width="12.42578125" style="1" bestFit="1" customWidth="1"/>
    <col min="48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47" ht="15" x14ac:dyDescent="0.25">
      <c r="A1" s="258"/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9" t="s">
        <v>0</v>
      </c>
      <c r="O1" s="260"/>
      <c r="P1" s="260"/>
      <c r="Q1" s="260"/>
      <c r="R1" s="260"/>
    </row>
    <row r="2" spans="1:47" ht="16.5" customHeight="1" x14ac:dyDescent="0.2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61" t="s">
        <v>103</v>
      </c>
      <c r="O2" s="261"/>
      <c r="P2" s="261"/>
      <c r="Q2" s="261"/>
      <c r="R2" s="261"/>
    </row>
    <row r="3" spans="1:47" ht="24" customHeight="1" x14ac:dyDescent="0.2">
      <c r="A3" s="262"/>
      <c r="B3" s="263"/>
      <c r="C3" s="264"/>
      <c r="D3" s="265"/>
      <c r="E3" s="265"/>
      <c r="F3" s="265"/>
      <c r="G3" s="265"/>
      <c r="H3" s="265"/>
      <c r="I3" s="2"/>
      <c r="J3" s="2"/>
      <c r="K3" s="2"/>
      <c r="L3" s="2"/>
      <c r="M3" s="2"/>
      <c r="N3" s="261"/>
      <c r="O3" s="261"/>
      <c r="P3" s="261"/>
      <c r="Q3" s="261"/>
      <c r="R3" s="261"/>
    </row>
    <row r="4" spans="1:47" ht="10.5" customHeight="1" x14ac:dyDescent="0.2">
      <c r="A4" s="262"/>
      <c r="B4" s="263"/>
      <c r="C4" s="266"/>
      <c r="D4" s="267"/>
      <c r="E4" s="267"/>
      <c r="F4" s="267"/>
      <c r="G4" s="267"/>
      <c r="H4" s="267"/>
      <c r="I4" s="3"/>
      <c r="J4" s="3"/>
      <c r="K4" s="3"/>
      <c r="L4" s="3"/>
      <c r="M4" s="3"/>
      <c r="N4" s="261"/>
      <c r="O4" s="261"/>
      <c r="P4" s="261"/>
      <c r="Q4" s="261"/>
      <c r="R4" s="261"/>
    </row>
    <row r="5" spans="1:47" ht="39.7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214" t="s">
        <v>62</v>
      </c>
      <c r="O5" s="237"/>
      <c r="P5" s="237"/>
      <c r="Q5" s="237"/>
      <c r="R5" s="237"/>
      <c r="S5" s="20"/>
    </row>
    <row r="6" spans="1:47" ht="15" customHeight="1" x14ac:dyDescent="0.25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45"/>
      <c r="S6" s="21"/>
    </row>
    <row r="7" spans="1:47" ht="36.75" customHeight="1" x14ac:dyDescent="0.25">
      <c r="A7" s="238" t="s">
        <v>109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1"/>
    </row>
    <row r="8" spans="1:47" ht="13.5" thickBot="1" x14ac:dyDescent="0.25">
      <c r="A8" s="239"/>
      <c r="B8" s="239"/>
      <c r="C8" s="239"/>
      <c r="D8" s="239"/>
      <c r="E8" s="239"/>
      <c r="F8" s="239"/>
      <c r="G8" s="239"/>
      <c r="H8" s="239"/>
      <c r="I8" s="7"/>
      <c r="J8" s="7"/>
      <c r="K8" s="7"/>
      <c r="L8" s="7"/>
      <c r="M8" s="7"/>
    </row>
    <row r="9" spans="1:47" ht="76.5" customHeight="1" x14ac:dyDescent="0.2">
      <c r="A9" s="240" t="s">
        <v>1</v>
      </c>
      <c r="B9" s="242" t="s">
        <v>2</v>
      </c>
      <c r="C9" s="244" t="s">
        <v>3</v>
      </c>
      <c r="D9" s="246" t="s">
        <v>91</v>
      </c>
      <c r="E9" s="247"/>
      <c r="F9" s="247"/>
      <c r="G9" s="247"/>
      <c r="H9" s="248"/>
      <c r="I9" s="249" t="s">
        <v>4</v>
      </c>
      <c r="J9" s="250"/>
      <c r="K9" s="250"/>
      <c r="L9" s="250"/>
      <c r="M9" s="251"/>
      <c r="N9" s="252" t="s">
        <v>106</v>
      </c>
      <c r="O9" s="253"/>
      <c r="P9" s="253"/>
      <c r="Q9" s="253"/>
      <c r="R9" s="254"/>
      <c r="S9" s="14"/>
      <c r="T9" s="13"/>
    </row>
    <row r="10" spans="1:47" ht="69" customHeight="1" x14ac:dyDescent="0.2">
      <c r="A10" s="241"/>
      <c r="B10" s="243"/>
      <c r="C10" s="245"/>
      <c r="D10" s="79" t="s">
        <v>5</v>
      </c>
      <c r="E10" s="37" t="s">
        <v>6</v>
      </c>
      <c r="F10" s="37" t="s">
        <v>7</v>
      </c>
      <c r="G10" s="37" t="s">
        <v>8</v>
      </c>
      <c r="H10" s="80" t="s">
        <v>9</v>
      </c>
      <c r="I10" s="93" t="s">
        <v>5</v>
      </c>
      <c r="J10" s="38" t="s">
        <v>6</v>
      </c>
      <c r="K10" s="38" t="s">
        <v>7</v>
      </c>
      <c r="L10" s="38" t="s">
        <v>8</v>
      </c>
      <c r="M10" s="94" t="s">
        <v>9</v>
      </c>
      <c r="N10" s="93" t="s">
        <v>5</v>
      </c>
      <c r="O10" s="38" t="s">
        <v>6</v>
      </c>
      <c r="P10" s="38" t="s">
        <v>7</v>
      </c>
      <c r="Q10" s="38" t="s">
        <v>8</v>
      </c>
      <c r="R10" s="94" t="s">
        <v>9</v>
      </c>
      <c r="S10" s="15"/>
      <c r="T10" s="12"/>
    </row>
    <row r="11" spans="1:47" x14ac:dyDescent="0.2">
      <c r="A11" s="39">
        <v>1</v>
      </c>
      <c r="B11" s="40">
        <v>2</v>
      </c>
      <c r="C11" s="70">
        <v>3</v>
      </c>
      <c r="D11" s="81">
        <v>4</v>
      </c>
      <c r="E11" s="41">
        <v>5</v>
      </c>
      <c r="F11" s="41">
        <v>6</v>
      </c>
      <c r="G11" s="41">
        <v>7</v>
      </c>
      <c r="H11" s="82">
        <v>8</v>
      </c>
      <c r="I11" s="95">
        <v>9</v>
      </c>
      <c r="J11" s="43">
        <v>10</v>
      </c>
      <c r="K11" s="43">
        <v>11</v>
      </c>
      <c r="L11" s="43">
        <v>12</v>
      </c>
      <c r="M11" s="96">
        <v>13</v>
      </c>
      <c r="N11" s="95">
        <v>27</v>
      </c>
      <c r="O11" s="43">
        <v>28</v>
      </c>
      <c r="P11" s="43">
        <v>29</v>
      </c>
      <c r="Q11" s="43">
        <v>30</v>
      </c>
      <c r="R11" s="96">
        <v>31</v>
      </c>
      <c r="S11" s="16"/>
    </row>
    <row r="12" spans="1:47" ht="15.75" customHeight="1" x14ac:dyDescent="0.2">
      <c r="A12" s="255" t="s">
        <v>10</v>
      </c>
      <c r="B12" s="256"/>
      <c r="C12" s="257"/>
      <c r="D12" s="81"/>
      <c r="E12" s="41"/>
      <c r="F12" s="41"/>
      <c r="G12" s="41"/>
      <c r="H12" s="82"/>
      <c r="I12" s="81"/>
      <c r="J12" s="41"/>
      <c r="K12" s="41"/>
      <c r="L12" s="41"/>
      <c r="M12" s="82"/>
      <c r="N12" s="97"/>
      <c r="O12" s="42"/>
      <c r="P12" s="42"/>
      <c r="Q12" s="33"/>
      <c r="R12" s="169"/>
      <c r="S12" s="17"/>
      <c r="AU12" s="1">
        <f>D16/I16</f>
        <v>4.8499999992290475</v>
      </c>
    </row>
    <row r="13" spans="1:47" s="25" customFormat="1" ht="16.5" customHeight="1" x14ac:dyDescent="0.2">
      <c r="A13" s="44"/>
      <c r="B13" s="201"/>
      <c r="C13" s="202"/>
      <c r="D13" s="100"/>
      <c r="E13" s="101"/>
      <c r="F13" s="101"/>
      <c r="G13" s="174"/>
      <c r="H13" s="175"/>
      <c r="I13" s="176"/>
      <c r="J13" s="177"/>
      <c r="K13" s="177"/>
      <c r="L13" s="177"/>
      <c r="M13" s="178"/>
      <c r="N13" s="179"/>
      <c r="O13" s="180"/>
      <c r="P13" s="180"/>
      <c r="Q13" s="181"/>
      <c r="R13" s="182"/>
      <c r="S13" s="29"/>
    </row>
    <row r="14" spans="1:47" s="25" customFormat="1" x14ac:dyDescent="0.2">
      <c r="A14" s="45"/>
      <c r="B14" s="46"/>
      <c r="C14" s="71" t="s">
        <v>11</v>
      </c>
      <c r="D14" s="100"/>
      <c r="E14" s="101"/>
      <c r="F14" s="101"/>
      <c r="G14" s="174"/>
      <c r="H14" s="175"/>
      <c r="I14" s="176"/>
      <c r="J14" s="177"/>
      <c r="K14" s="177"/>
      <c r="L14" s="177"/>
      <c r="M14" s="178"/>
      <c r="N14" s="183"/>
      <c r="O14" s="177"/>
      <c r="P14" s="177"/>
      <c r="Q14" s="177"/>
      <c r="R14" s="184"/>
      <c r="S14" s="30"/>
    </row>
    <row r="15" spans="1:47" s="25" customFormat="1" ht="15.75" customHeight="1" x14ac:dyDescent="0.2">
      <c r="A15" s="234" t="s">
        <v>84</v>
      </c>
      <c r="B15" s="235"/>
      <c r="C15" s="236"/>
      <c r="D15" s="102"/>
      <c r="E15" s="103"/>
      <c r="F15" s="103"/>
      <c r="G15" s="103"/>
      <c r="H15" s="104"/>
      <c r="I15" s="138"/>
      <c r="J15" s="200"/>
      <c r="K15" s="200"/>
      <c r="L15" s="200"/>
      <c r="M15" s="83"/>
      <c r="N15" s="139"/>
      <c r="O15" s="140"/>
      <c r="P15" s="140"/>
      <c r="Q15" s="140"/>
      <c r="R15" s="170"/>
      <c r="S15" s="31"/>
    </row>
    <row r="16" spans="1:47" s="25" customFormat="1" ht="25.5" x14ac:dyDescent="0.2">
      <c r="A16" s="47">
        <v>1</v>
      </c>
      <c r="B16" s="48" t="s">
        <v>92</v>
      </c>
      <c r="C16" s="72" t="s">
        <v>93</v>
      </c>
      <c r="D16" s="160">
        <v>18872.771919999999</v>
      </c>
      <c r="E16" s="115"/>
      <c r="F16" s="115"/>
      <c r="G16" s="115"/>
      <c r="H16" s="116">
        <f>SUM(D16:G16)</f>
        <v>18872.771919999999</v>
      </c>
      <c r="I16" s="160">
        <v>3891.2931800000001</v>
      </c>
      <c r="J16" s="115"/>
      <c r="K16" s="115"/>
      <c r="L16" s="115"/>
      <c r="M16" s="116">
        <f>SUM(I16:L16)</f>
        <v>3891.2931800000001</v>
      </c>
      <c r="N16" s="147">
        <f>I16*5.08</f>
        <v>19767.769354399999</v>
      </c>
      <c r="O16" s="148"/>
      <c r="P16" s="148"/>
      <c r="Q16" s="148"/>
      <c r="R16" s="185">
        <f>SUM(N16:Q16)</f>
        <v>19767.769354399999</v>
      </c>
      <c r="S16" s="24"/>
    </row>
    <row r="17" spans="1:47" s="25" customFormat="1" x14ac:dyDescent="0.2">
      <c r="A17" s="52"/>
      <c r="B17" s="53" t="s">
        <v>13</v>
      </c>
      <c r="C17" s="74" t="s">
        <v>85</v>
      </c>
      <c r="D17" s="112">
        <f>D16</f>
        <v>18872.771919999999</v>
      </c>
      <c r="E17" s="54">
        <f>E16</f>
        <v>0</v>
      </c>
      <c r="F17" s="54">
        <f t="shared" ref="F17:G17" si="0">F16</f>
        <v>0</v>
      </c>
      <c r="G17" s="54">
        <f t="shared" si="0"/>
        <v>0</v>
      </c>
      <c r="H17" s="87">
        <f>SUM(D17:G17)</f>
        <v>18872.771919999999</v>
      </c>
      <c r="I17" s="112">
        <f>I16</f>
        <v>3891.2931800000001</v>
      </c>
      <c r="J17" s="54">
        <f>J16</f>
        <v>0</v>
      </c>
      <c r="K17" s="54">
        <f t="shared" ref="K17:L17" si="1">K16</f>
        <v>0</v>
      </c>
      <c r="L17" s="54">
        <f t="shared" si="1"/>
        <v>0</v>
      </c>
      <c r="M17" s="87">
        <f t="shared" ref="M17:M18" si="2">SUM(I17:L17)</f>
        <v>3891.2931800000001</v>
      </c>
      <c r="N17" s="151">
        <f>N16</f>
        <v>19767.769354399999</v>
      </c>
      <c r="O17" s="152">
        <f>O16</f>
        <v>0</v>
      </c>
      <c r="P17" s="152">
        <f t="shared" ref="P17:Q17" si="3">P16</f>
        <v>0</v>
      </c>
      <c r="Q17" s="152">
        <f t="shared" si="3"/>
        <v>0</v>
      </c>
      <c r="R17" s="186">
        <f t="shared" ref="R17:R18" si="4">SUM(N17:Q17)</f>
        <v>19767.769354399999</v>
      </c>
      <c r="S17" s="26"/>
    </row>
    <row r="18" spans="1:47" s="25" customFormat="1" x14ac:dyDescent="0.2">
      <c r="A18" s="52"/>
      <c r="B18" s="53"/>
      <c r="C18" s="75" t="s">
        <v>76</v>
      </c>
      <c r="D18" s="112">
        <f>D14+D17</f>
        <v>18872.771919999999</v>
      </c>
      <c r="E18" s="54">
        <f>E14+E17</f>
        <v>0</v>
      </c>
      <c r="F18" s="54">
        <f t="shared" ref="F18:G18" si="5">F14+F17</f>
        <v>0</v>
      </c>
      <c r="G18" s="54">
        <f t="shared" si="5"/>
        <v>0</v>
      </c>
      <c r="H18" s="87">
        <f>SUM(D18:G18)</f>
        <v>18872.771919999999</v>
      </c>
      <c r="I18" s="112">
        <f>I14+I17</f>
        <v>3891.2931800000001</v>
      </c>
      <c r="J18" s="54">
        <f>J14+J17</f>
        <v>0</v>
      </c>
      <c r="K18" s="54">
        <f>K14+K17</f>
        <v>0</v>
      </c>
      <c r="L18" s="54">
        <f>L14+L17</f>
        <v>0</v>
      </c>
      <c r="M18" s="87">
        <f t="shared" si="2"/>
        <v>3891.2931800000001</v>
      </c>
      <c r="N18" s="151">
        <f>N14+N17</f>
        <v>19767.769354399999</v>
      </c>
      <c r="O18" s="152">
        <f>O14+O17</f>
        <v>0</v>
      </c>
      <c r="P18" s="152">
        <f>P14+P17</f>
        <v>0</v>
      </c>
      <c r="Q18" s="152">
        <f>Q14+Q17</f>
        <v>0</v>
      </c>
      <c r="R18" s="186">
        <f t="shared" si="4"/>
        <v>19767.769354399999</v>
      </c>
      <c r="S18" s="26"/>
    </row>
    <row r="19" spans="1:47" s="25" customFormat="1" ht="15.75" customHeight="1" x14ac:dyDescent="0.2">
      <c r="A19" s="234" t="s">
        <v>77</v>
      </c>
      <c r="B19" s="235"/>
      <c r="C19" s="236"/>
      <c r="D19" s="113"/>
      <c r="E19" s="55"/>
      <c r="F19" s="55"/>
      <c r="G19" s="55"/>
      <c r="H19" s="89"/>
      <c r="I19" s="113"/>
      <c r="J19" s="55"/>
      <c r="K19" s="55"/>
      <c r="L19" s="55"/>
      <c r="M19" s="89"/>
      <c r="N19" s="153"/>
      <c r="O19" s="154"/>
      <c r="P19" s="154"/>
      <c r="Q19" s="154"/>
      <c r="R19" s="187"/>
      <c r="S19" s="27"/>
    </row>
    <row r="20" spans="1:47" s="25" customFormat="1" ht="41.25" customHeight="1" x14ac:dyDescent="0.2">
      <c r="A20" s="47">
        <v>2</v>
      </c>
      <c r="B20" s="48" t="s">
        <v>45</v>
      </c>
      <c r="C20" s="73" t="s">
        <v>94</v>
      </c>
      <c r="D20" s="111">
        <f>D18*3.3%</f>
        <v>622.80147336000005</v>
      </c>
      <c r="E20" s="50"/>
      <c r="F20" s="50"/>
      <c r="G20" s="51"/>
      <c r="H20" s="85">
        <f>SUM(D20:G20)</f>
        <v>622.80147336000005</v>
      </c>
      <c r="I20" s="111">
        <f>I18*3.3%</f>
        <v>128.41267494000002</v>
      </c>
      <c r="J20" s="50"/>
      <c r="K20" s="51"/>
      <c r="L20" s="51"/>
      <c r="M20" s="85">
        <f t="shared" ref="M20" si="6">SUM(I20:L20)</f>
        <v>128.41267494000002</v>
      </c>
      <c r="N20" s="111">
        <f>N18*3.3%</f>
        <v>652.33638869519996</v>
      </c>
      <c r="O20" s="50"/>
      <c r="P20" s="150"/>
      <c r="Q20" s="150"/>
      <c r="R20" s="188">
        <f>SUM(N20:Q20)</f>
        <v>652.33638869519996</v>
      </c>
      <c r="S20" s="18"/>
    </row>
    <row r="21" spans="1:47" s="25" customFormat="1" x14ac:dyDescent="0.2">
      <c r="A21" s="52"/>
      <c r="B21" s="53" t="s">
        <v>13</v>
      </c>
      <c r="C21" s="74" t="s">
        <v>15</v>
      </c>
      <c r="D21" s="112">
        <f>SUM(D20:D20)</f>
        <v>622.80147336000005</v>
      </c>
      <c r="E21" s="54">
        <f>SUM(E20:E20)</f>
        <v>0</v>
      </c>
      <c r="F21" s="54">
        <f>SUM(F20:F20)</f>
        <v>0</v>
      </c>
      <c r="G21" s="54">
        <v>0</v>
      </c>
      <c r="H21" s="87">
        <f>SUM(D21:G21)</f>
        <v>622.80147336000005</v>
      </c>
      <c r="I21" s="112">
        <f>SUM(I20:I20)</f>
        <v>128.41267494000002</v>
      </c>
      <c r="J21" s="54">
        <f>SUM(J20:J20)</f>
        <v>0</v>
      </c>
      <c r="K21" s="54">
        <f>SUM(K20:K20)</f>
        <v>0</v>
      </c>
      <c r="L21" s="54">
        <f>SUM(L20:L20)</f>
        <v>0</v>
      </c>
      <c r="M21" s="87">
        <f>SUM(I21:L21)</f>
        <v>128.41267494000002</v>
      </c>
      <c r="N21" s="151">
        <f>SUM(N20:N20)</f>
        <v>652.33638869519996</v>
      </c>
      <c r="O21" s="152">
        <f>SUM(O20:O20)</f>
        <v>0</v>
      </c>
      <c r="P21" s="152">
        <f>SUM(P20:P20)</f>
        <v>0</v>
      </c>
      <c r="Q21" s="152"/>
      <c r="R21" s="186">
        <f>SUM(N21:Q21)</f>
        <v>652.33638869519996</v>
      </c>
      <c r="S21" s="26"/>
    </row>
    <row r="22" spans="1:47" s="25" customFormat="1" x14ac:dyDescent="0.2">
      <c r="A22" s="52"/>
      <c r="B22" s="53"/>
      <c r="C22" s="74" t="s">
        <v>16</v>
      </c>
      <c r="D22" s="112">
        <f>D14+D17+D21</f>
        <v>19495.573393359999</v>
      </c>
      <c r="E22" s="54">
        <f>E14+E17+E21</f>
        <v>0</v>
      </c>
      <c r="F22" s="54">
        <f>F14+F17+F21</f>
        <v>0</v>
      </c>
      <c r="G22" s="54">
        <f>G14+G17+G21</f>
        <v>0</v>
      </c>
      <c r="H22" s="87">
        <f>SUM(D22:G22)</f>
        <v>19495.573393359999</v>
      </c>
      <c r="I22" s="112">
        <f>I14+I17+I21</f>
        <v>4019.7058549400003</v>
      </c>
      <c r="J22" s="54">
        <f>J14+J17+J21</f>
        <v>0</v>
      </c>
      <c r="K22" s="54">
        <f>K14+K17+K21</f>
        <v>0</v>
      </c>
      <c r="L22" s="54">
        <f>L14+L17+L21</f>
        <v>0</v>
      </c>
      <c r="M22" s="87">
        <f>SUM(I22:L22)</f>
        <v>4019.7058549400003</v>
      </c>
      <c r="N22" s="151">
        <f>N14+N17+N21</f>
        <v>20420.105743095199</v>
      </c>
      <c r="O22" s="152">
        <f>O14+O17+O21</f>
        <v>0</v>
      </c>
      <c r="P22" s="152">
        <f>P14+P17+P21</f>
        <v>0</v>
      </c>
      <c r="Q22" s="152">
        <f>Q18</f>
        <v>0</v>
      </c>
      <c r="R22" s="186">
        <f>SUM(N22:Q22)</f>
        <v>20420.105743095199</v>
      </c>
      <c r="S22" s="26"/>
    </row>
    <row r="23" spans="1:47" s="25" customFormat="1" ht="15.75" customHeight="1" x14ac:dyDescent="0.2">
      <c r="A23" s="234" t="s">
        <v>78</v>
      </c>
      <c r="B23" s="235"/>
      <c r="C23" s="236"/>
      <c r="D23" s="113"/>
      <c r="E23" s="55"/>
      <c r="F23" s="55"/>
      <c r="G23" s="55"/>
      <c r="H23" s="89"/>
      <c r="I23" s="113"/>
      <c r="J23" s="55"/>
      <c r="K23" s="55"/>
      <c r="L23" s="55"/>
      <c r="M23" s="89"/>
      <c r="N23" s="153"/>
      <c r="O23" s="154"/>
      <c r="P23" s="154"/>
      <c r="Q23" s="154"/>
      <c r="R23" s="187"/>
      <c r="S23" s="27"/>
    </row>
    <row r="24" spans="1:47" s="25" customFormat="1" ht="43.5" customHeight="1" x14ac:dyDescent="0.2">
      <c r="A24" s="56">
        <v>4</v>
      </c>
      <c r="B24" s="49" t="s">
        <v>72</v>
      </c>
      <c r="C24" s="72" t="s">
        <v>86</v>
      </c>
      <c r="D24" s="111"/>
      <c r="E24" s="50"/>
      <c r="F24" s="50"/>
      <c r="G24" s="50">
        <f>(D22+E22)*2.45%</f>
        <v>477.64154813732</v>
      </c>
      <c r="H24" s="90">
        <f>SUM(D24:G24)</f>
        <v>477.64154813732</v>
      </c>
      <c r="I24" s="111"/>
      <c r="J24" s="50"/>
      <c r="K24" s="50"/>
      <c r="L24" s="50">
        <f>(I22+J22)*2.45%</f>
        <v>98.482793446030016</v>
      </c>
      <c r="M24" s="90">
        <f t="shared" ref="M24" si="7">SUM(I24:L24)</f>
        <v>98.482793446030016</v>
      </c>
      <c r="N24" s="159"/>
      <c r="O24" s="149"/>
      <c r="P24" s="149"/>
      <c r="Q24" s="50">
        <f>(N22+O22)*2.45%</f>
        <v>500.29259070583237</v>
      </c>
      <c r="R24" s="189">
        <f>Q24</f>
        <v>500.29259070583237</v>
      </c>
      <c r="S24" s="28"/>
    </row>
    <row r="25" spans="1:47" s="25" customFormat="1" ht="38.25" x14ac:dyDescent="0.2">
      <c r="A25" s="56">
        <v>5</v>
      </c>
      <c r="B25" s="49" t="s">
        <v>89</v>
      </c>
      <c r="C25" s="72" t="s">
        <v>90</v>
      </c>
      <c r="D25" s="111"/>
      <c r="E25" s="50"/>
      <c r="F25" s="50"/>
      <c r="G25" s="50">
        <v>1612.1006299999999</v>
      </c>
      <c r="H25" s="90">
        <f>SUM(D25:G25)</f>
        <v>1612.1006299999999</v>
      </c>
      <c r="I25" s="111"/>
      <c r="J25" s="50"/>
      <c r="K25" s="50"/>
      <c r="L25" s="50">
        <v>191.46088</v>
      </c>
      <c r="M25" s="90">
        <f t="shared" ref="M25" si="8">SUM(I25:L25)</f>
        <v>191.46088</v>
      </c>
      <c r="N25" s="159"/>
      <c r="O25" s="149"/>
      <c r="P25" s="149"/>
      <c r="Q25" s="50">
        <f>L25*7.56</f>
        <v>1447.4442528</v>
      </c>
      <c r="R25" s="189">
        <f>Q25</f>
        <v>1447.4442528</v>
      </c>
      <c r="S25" s="28"/>
      <c r="AU25" s="25">
        <f>G25/L25</f>
        <v>8.4200001065491801</v>
      </c>
    </row>
    <row r="26" spans="1:47" s="25" customFormat="1" ht="12.75" customHeight="1" x14ac:dyDescent="0.2">
      <c r="A26" s="58"/>
      <c r="B26" s="53" t="s">
        <v>13</v>
      </c>
      <c r="C26" s="74" t="s">
        <v>18</v>
      </c>
      <c r="D26" s="111">
        <f>SUM(D24:D25)</f>
        <v>0</v>
      </c>
      <c r="E26" s="50">
        <f>SUM(E24:E25)</f>
        <v>0</v>
      </c>
      <c r="F26" s="50">
        <f>SUM(F24:F25)</f>
        <v>0</v>
      </c>
      <c r="G26" s="50">
        <f>SUM(G24:G25)</f>
        <v>2089.74217813732</v>
      </c>
      <c r="H26" s="85">
        <f t="shared" ref="H26:H43" si="9">SUM(D26:G26)</f>
        <v>2089.74217813732</v>
      </c>
      <c r="I26" s="84">
        <f>SUM(I24:I25)</f>
        <v>0</v>
      </c>
      <c r="J26" s="50">
        <f>SUM(J24:J25)</f>
        <v>0</v>
      </c>
      <c r="K26" s="50">
        <f>SUM(K24:K25)</f>
        <v>0</v>
      </c>
      <c r="L26" s="50">
        <f>SUM(L24:L25)</f>
        <v>289.94367344603</v>
      </c>
      <c r="M26" s="85">
        <f>SUM(I26:L26)</f>
        <v>289.94367344603</v>
      </c>
      <c r="N26" s="50">
        <f>SUM(N24:N25)</f>
        <v>0</v>
      </c>
      <c r="O26" s="50">
        <f>SUM(O24:O25)</f>
        <v>0</v>
      </c>
      <c r="P26" s="50">
        <f>SUM(P24:P25)</f>
        <v>0</v>
      </c>
      <c r="Q26" s="50">
        <f>SUM(Q24:Q25)</f>
        <v>1947.7368435058324</v>
      </c>
      <c r="R26" s="50">
        <f>SUM(R24:R25)</f>
        <v>1947.7368435058324</v>
      </c>
      <c r="S26" s="18"/>
    </row>
    <row r="27" spans="1:47" s="25" customFormat="1" ht="12.75" customHeight="1" x14ac:dyDescent="0.2">
      <c r="A27" s="58"/>
      <c r="B27" s="53" t="s">
        <v>13</v>
      </c>
      <c r="C27" s="76" t="s">
        <v>19</v>
      </c>
      <c r="D27" s="86">
        <f>D22+D26</f>
        <v>19495.573393359999</v>
      </c>
      <c r="E27" s="54">
        <f>E22+E26</f>
        <v>0</v>
      </c>
      <c r="F27" s="54">
        <f>F22+F26</f>
        <v>0</v>
      </c>
      <c r="G27" s="54">
        <f>G22+G26</f>
        <v>2089.74217813732</v>
      </c>
      <c r="H27" s="87">
        <f>SUM(D27:G27)</f>
        <v>21585.315571497318</v>
      </c>
      <c r="I27" s="86">
        <f>I22+I26</f>
        <v>4019.7058549400003</v>
      </c>
      <c r="J27" s="54">
        <f>J22+J26</f>
        <v>0</v>
      </c>
      <c r="K27" s="54">
        <f>K22+K26</f>
        <v>0</v>
      </c>
      <c r="L27" s="54">
        <f>L22+L26</f>
        <v>289.94367344603</v>
      </c>
      <c r="M27" s="87">
        <f>SUM(I27:L27)</f>
        <v>4309.6495283860304</v>
      </c>
      <c r="N27" s="164">
        <f>N22+N26</f>
        <v>20420.105743095199</v>
      </c>
      <c r="O27" s="165">
        <f>O22+O26</f>
        <v>0</v>
      </c>
      <c r="P27" s="165">
        <f>P22+P26</f>
        <v>0</v>
      </c>
      <c r="Q27" s="165">
        <f>Q22+Q26</f>
        <v>1947.7368435058324</v>
      </c>
      <c r="R27" s="87">
        <f>SUM(N27:Q27)</f>
        <v>22367.842586601029</v>
      </c>
      <c r="S27" s="26"/>
    </row>
    <row r="28" spans="1:47" s="25" customFormat="1" ht="15.75" customHeight="1" x14ac:dyDescent="0.2">
      <c r="A28" s="234" t="s">
        <v>20</v>
      </c>
      <c r="B28" s="235"/>
      <c r="C28" s="236"/>
      <c r="D28" s="88"/>
      <c r="E28" s="55"/>
      <c r="F28" s="55"/>
      <c r="G28" s="55"/>
      <c r="H28" s="89"/>
      <c r="I28" s="88"/>
      <c r="J28" s="55"/>
      <c r="K28" s="55"/>
      <c r="L28" s="55"/>
      <c r="M28" s="89"/>
      <c r="N28" s="141"/>
      <c r="O28" s="142"/>
      <c r="P28" s="142"/>
      <c r="Q28" s="142"/>
      <c r="R28" s="190"/>
      <c r="S28" s="27"/>
    </row>
    <row r="29" spans="1:47" s="25" customFormat="1" ht="53.25" customHeight="1" x14ac:dyDescent="0.2">
      <c r="A29" s="56">
        <v>6</v>
      </c>
      <c r="B29" s="59" t="s">
        <v>87</v>
      </c>
      <c r="C29" s="73" t="s">
        <v>73</v>
      </c>
      <c r="D29" s="84"/>
      <c r="E29" s="50"/>
      <c r="F29" s="50"/>
      <c r="G29" s="50">
        <f>H27*2.14%</f>
        <v>461.92575323004269</v>
      </c>
      <c r="H29" s="90">
        <f t="shared" si="9"/>
        <v>461.92575323004269</v>
      </c>
      <c r="I29" s="84"/>
      <c r="J29" s="50"/>
      <c r="K29" s="50"/>
      <c r="L29" s="50">
        <f>M27*2.14%</f>
        <v>92.226499907461061</v>
      </c>
      <c r="M29" s="90">
        <f t="shared" ref="M29" si="10">SUM(I29:L29)</f>
        <v>92.226499907461061</v>
      </c>
      <c r="N29" s="111"/>
      <c r="O29" s="50"/>
      <c r="P29" s="50"/>
      <c r="Q29" s="50">
        <f>R27*2.14%</f>
        <v>478.67183135326206</v>
      </c>
      <c r="R29" s="90">
        <f>SUM(N29:Q29)</f>
        <v>478.67183135326206</v>
      </c>
      <c r="S29" s="28"/>
    </row>
    <row r="30" spans="1:47" s="25" customFormat="1" x14ac:dyDescent="0.2">
      <c r="A30" s="52"/>
      <c r="B30" s="53" t="s">
        <v>13</v>
      </c>
      <c r="C30" s="74" t="s">
        <v>21</v>
      </c>
      <c r="D30" s="84">
        <f>D29</f>
        <v>0</v>
      </c>
      <c r="E30" s="50">
        <f>E29</f>
        <v>0</v>
      </c>
      <c r="F30" s="50">
        <f>F29</f>
        <v>0</v>
      </c>
      <c r="G30" s="50">
        <f>G29</f>
        <v>461.92575323004269</v>
      </c>
      <c r="H30" s="90">
        <f t="shared" si="9"/>
        <v>461.92575323004269</v>
      </c>
      <c r="I30" s="84">
        <f>I29</f>
        <v>0</v>
      </c>
      <c r="J30" s="50">
        <f>J29</f>
        <v>0</v>
      </c>
      <c r="K30" s="50">
        <f>K29</f>
        <v>0</v>
      </c>
      <c r="L30" s="50">
        <f>L29</f>
        <v>92.226499907461061</v>
      </c>
      <c r="M30" s="90">
        <f>SUM(I30:L30)</f>
        <v>92.226499907461061</v>
      </c>
      <c r="N30" s="84">
        <f>N29</f>
        <v>0</v>
      </c>
      <c r="O30" s="50">
        <f>O29</f>
        <v>0</v>
      </c>
      <c r="P30" s="50">
        <f>P29</f>
        <v>0</v>
      </c>
      <c r="Q30" s="50">
        <f>Q29</f>
        <v>478.67183135326206</v>
      </c>
      <c r="R30" s="90">
        <f>SUM(N30:Q30)</f>
        <v>478.67183135326206</v>
      </c>
      <c r="S30" s="28"/>
      <c r="T30" s="121"/>
    </row>
    <row r="31" spans="1:47" s="25" customFormat="1" ht="15.75" customHeight="1" x14ac:dyDescent="0.2">
      <c r="A31" s="52"/>
      <c r="B31" s="53" t="s">
        <v>13</v>
      </c>
      <c r="C31" s="77" t="s">
        <v>22</v>
      </c>
      <c r="D31" s="84">
        <f>D27+D30</f>
        <v>19495.573393359999</v>
      </c>
      <c r="E31" s="50">
        <f>E27+E30</f>
        <v>0</v>
      </c>
      <c r="F31" s="50">
        <f>F27+F30</f>
        <v>0</v>
      </c>
      <c r="G31" s="50">
        <f>G27+G30</f>
        <v>2551.6679313673626</v>
      </c>
      <c r="H31" s="90">
        <f t="shared" si="9"/>
        <v>22047.241324727362</v>
      </c>
      <c r="I31" s="84">
        <f>I27+I30</f>
        <v>4019.7058549400003</v>
      </c>
      <c r="J31" s="50">
        <f>J27+J30</f>
        <v>0</v>
      </c>
      <c r="K31" s="50">
        <f>K27+K30</f>
        <v>0</v>
      </c>
      <c r="L31" s="50">
        <f>L27+L30</f>
        <v>382.17017335349107</v>
      </c>
      <c r="M31" s="90">
        <f>SUM(I31:L31)</f>
        <v>4401.8760282934918</v>
      </c>
      <c r="N31" s="84">
        <f>N27+N30</f>
        <v>20420.105743095199</v>
      </c>
      <c r="O31" s="50">
        <f>O27+O30</f>
        <v>0</v>
      </c>
      <c r="P31" s="50">
        <f>P27+P30</f>
        <v>0</v>
      </c>
      <c r="Q31" s="50">
        <f>Q27+Q30</f>
        <v>2426.4086748590944</v>
      </c>
      <c r="R31" s="90">
        <f>SUM(N31:Q31)</f>
        <v>22846.514417954291</v>
      </c>
      <c r="S31" s="28"/>
      <c r="T31" s="122" t="s">
        <v>68</v>
      </c>
      <c r="U31" s="123" t="s">
        <v>31</v>
      </c>
      <c r="V31" s="196">
        <f>V32+V33</f>
        <v>397.84350000000001</v>
      </c>
    </row>
    <row r="32" spans="1:47" s="25" customFormat="1" ht="15.75" customHeight="1" x14ac:dyDescent="0.25">
      <c r="A32" s="234" t="s">
        <v>79</v>
      </c>
      <c r="B32" s="235"/>
      <c r="C32" s="236"/>
      <c r="D32" s="88"/>
      <c r="E32" s="55"/>
      <c r="F32" s="55"/>
      <c r="G32" s="55"/>
      <c r="H32" s="89"/>
      <c r="I32" s="88"/>
      <c r="J32" s="55"/>
      <c r="K32" s="55"/>
      <c r="L32" s="55"/>
      <c r="M32" s="89"/>
      <c r="N32" s="143"/>
      <c r="O32" s="142"/>
      <c r="P32" s="142"/>
      <c r="Q32" s="142"/>
      <c r="R32" s="190"/>
      <c r="S32" s="27"/>
      <c r="T32" s="126"/>
      <c r="U32" s="127" t="s">
        <v>38</v>
      </c>
      <c r="V32" s="197">
        <f>R33</f>
        <v>388.54419999999999</v>
      </c>
      <c r="W32" s="124"/>
      <c r="X32" s="125"/>
    </row>
    <row r="33" spans="1:44" s="25" customFormat="1" ht="15" x14ac:dyDescent="0.25">
      <c r="A33" s="56">
        <v>8</v>
      </c>
      <c r="B33" s="59"/>
      <c r="C33" s="73" t="s">
        <v>74</v>
      </c>
      <c r="D33" s="91"/>
      <c r="E33" s="57"/>
      <c r="F33" s="57"/>
      <c r="G33" s="50">
        <v>388.54419999999999</v>
      </c>
      <c r="H33" s="90">
        <f>SUM(D33:G33)</f>
        <v>388.54419999999999</v>
      </c>
      <c r="I33" s="91"/>
      <c r="J33" s="57"/>
      <c r="K33" s="57"/>
      <c r="L33" s="50">
        <v>98.365620000000007</v>
      </c>
      <c r="M33" s="90">
        <f>SUM(I33:L33)</f>
        <v>98.365620000000007</v>
      </c>
      <c r="N33" s="144"/>
      <c r="O33" s="117"/>
      <c r="P33" s="117"/>
      <c r="Q33" s="50">
        <f>G33</f>
        <v>388.54419999999999</v>
      </c>
      <c r="R33" s="90">
        <f t="shared" ref="R33" si="11">SUM(N33:Q33)</f>
        <v>388.54419999999999</v>
      </c>
      <c r="S33" s="28"/>
      <c r="T33" s="126"/>
      <c r="U33" s="127" t="s">
        <v>69</v>
      </c>
      <c r="V33" s="197">
        <v>9.2992999999999988</v>
      </c>
      <c r="W33" s="128"/>
      <c r="X33" s="129"/>
    </row>
    <row r="34" spans="1:44" s="25" customFormat="1" ht="15" x14ac:dyDescent="0.25">
      <c r="A34" s="52"/>
      <c r="B34" s="53" t="s">
        <v>13</v>
      </c>
      <c r="C34" s="74" t="s">
        <v>23</v>
      </c>
      <c r="D34" s="84">
        <f>SUM(D33:D33)</f>
        <v>0</v>
      </c>
      <c r="E34" s="50">
        <f>SUM(E33:E33)</f>
        <v>0</v>
      </c>
      <c r="F34" s="50">
        <f>SUM(F33:F33)</f>
        <v>0</v>
      </c>
      <c r="G34" s="50">
        <f>SUM(G33:G33)</f>
        <v>388.54419999999999</v>
      </c>
      <c r="H34" s="90">
        <f t="shared" si="9"/>
        <v>388.54419999999999</v>
      </c>
      <c r="I34" s="84">
        <f>SUM(I33:I33)</f>
        <v>0</v>
      </c>
      <c r="J34" s="50">
        <f>SUM(J33:J33)</f>
        <v>0</v>
      </c>
      <c r="K34" s="50">
        <f>SUM(K33:K33)</f>
        <v>0</v>
      </c>
      <c r="L34" s="50">
        <f>SUM(L33:L33)</f>
        <v>98.365620000000007</v>
      </c>
      <c r="M34" s="90">
        <f t="shared" ref="M34" si="12">SUM(I34:L34)</f>
        <v>98.365620000000007</v>
      </c>
      <c r="N34" s="84">
        <f>SUM(N33:N33)</f>
        <v>0</v>
      </c>
      <c r="O34" s="50">
        <f>SUM(O33:O33)</f>
        <v>0</v>
      </c>
      <c r="P34" s="50">
        <f>SUM(P33:P33)</f>
        <v>0</v>
      </c>
      <c r="Q34" s="50">
        <f>SUM(Q33:Q33)</f>
        <v>388.54419999999999</v>
      </c>
      <c r="R34" s="90">
        <f>SUM(N34:Q34)</f>
        <v>388.54419999999999</v>
      </c>
      <c r="S34" s="28"/>
      <c r="T34" s="122" t="s">
        <v>67</v>
      </c>
      <c r="U34" s="123" t="s">
        <v>31</v>
      </c>
      <c r="V34" s="196">
        <f>R41-V31</f>
        <v>31909.592577000218</v>
      </c>
      <c r="W34" s="166"/>
      <c r="X34" s="130"/>
    </row>
    <row r="35" spans="1:44" s="25" customFormat="1" ht="15" x14ac:dyDescent="0.25">
      <c r="A35" s="52"/>
      <c r="B35" s="53" t="s">
        <v>13</v>
      </c>
      <c r="C35" s="77" t="s">
        <v>24</v>
      </c>
      <c r="D35" s="84">
        <f>D31+D34</f>
        <v>19495.573393359999</v>
      </c>
      <c r="E35" s="50">
        <f>E31+E34</f>
        <v>0</v>
      </c>
      <c r="F35" s="50">
        <f>F31+F34</f>
        <v>0</v>
      </c>
      <c r="G35" s="50">
        <f>G31+G34</f>
        <v>2940.2121313673624</v>
      </c>
      <c r="H35" s="90">
        <f t="shared" si="9"/>
        <v>22435.785524727362</v>
      </c>
      <c r="I35" s="84">
        <f>I31+I34</f>
        <v>4019.7058549400003</v>
      </c>
      <c r="J35" s="50">
        <f>J31+J34</f>
        <v>0</v>
      </c>
      <c r="K35" s="50">
        <f>K31+K34</f>
        <v>0</v>
      </c>
      <c r="L35" s="50">
        <f>L31+L34</f>
        <v>480.53579335349104</v>
      </c>
      <c r="M35" s="90">
        <f>SUM(I35:L35)</f>
        <v>4500.2416482934914</v>
      </c>
      <c r="N35" s="84">
        <f>N31+N34</f>
        <v>20420.105743095199</v>
      </c>
      <c r="O35" s="50">
        <f>O31+O34</f>
        <v>0</v>
      </c>
      <c r="P35" s="50">
        <f>P31+P34</f>
        <v>0</v>
      </c>
      <c r="Q35" s="50">
        <f>Q31+Q34</f>
        <v>2814.9528748590942</v>
      </c>
      <c r="R35" s="90">
        <f>SUM(N35:Q35)</f>
        <v>23235.058617954292</v>
      </c>
      <c r="S35" s="28"/>
      <c r="T35" s="131"/>
      <c r="U35" s="127" t="s">
        <v>32</v>
      </c>
      <c r="V35" s="197" t="e">
        <f>#REF!</f>
        <v>#REF!</v>
      </c>
      <c r="W35" s="134"/>
      <c r="X35" s="132"/>
    </row>
    <row r="36" spans="1:44" s="25" customFormat="1" ht="15" x14ac:dyDescent="0.25">
      <c r="A36" s="234"/>
      <c r="B36" s="235"/>
      <c r="C36" s="236"/>
      <c r="D36" s="88"/>
      <c r="E36" s="55"/>
      <c r="F36" s="55"/>
      <c r="G36" s="55"/>
      <c r="H36" s="89"/>
      <c r="I36" s="88"/>
      <c r="J36" s="55"/>
      <c r="K36" s="55"/>
      <c r="L36" s="55"/>
      <c r="M36" s="89"/>
      <c r="N36" s="143"/>
      <c r="O36" s="142"/>
      <c r="P36" s="142"/>
      <c r="Q36" s="142"/>
      <c r="R36" s="190"/>
      <c r="S36" s="27"/>
      <c r="T36" s="133"/>
      <c r="U36" s="127" t="s">
        <v>33</v>
      </c>
      <c r="V36" s="198" t="e">
        <f>((R25+R29+#REF!)*1.03)*1.049*1.05*1.044</f>
        <v>#REF!</v>
      </c>
      <c r="W36" s="195" t="e">
        <f>((R22+R24)*0.015+(R25+R29+#REF!)*1.03)*1.049*1.05*1.044</f>
        <v>#REF!</v>
      </c>
      <c r="X36" s="135"/>
    </row>
    <row r="37" spans="1:44" s="25" customFormat="1" ht="15" x14ac:dyDescent="0.25">
      <c r="A37" s="56">
        <v>9</v>
      </c>
      <c r="B37" s="60" t="s">
        <v>75</v>
      </c>
      <c r="C37" s="74" t="s">
        <v>65</v>
      </c>
      <c r="D37" s="84">
        <f t="shared" ref="D37:E37" si="13">D35*0.03</f>
        <v>584.86720180079999</v>
      </c>
      <c r="E37" s="50">
        <f t="shared" si="13"/>
        <v>0</v>
      </c>
      <c r="F37" s="50">
        <f>F35*0.03</f>
        <v>0</v>
      </c>
      <c r="G37" s="50">
        <f>(G35)*3%</f>
        <v>88.206363941020868</v>
      </c>
      <c r="H37" s="90">
        <f t="shared" si="9"/>
        <v>673.07356574182086</v>
      </c>
      <c r="I37" s="84">
        <f>ROUND(I35*0.03,5)</f>
        <v>120.59117999999999</v>
      </c>
      <c r="J37" s="50">
        <f>ROUND(J35*0.03,3)</f>
        <v>0</v>
      </c>
      <c r="K37" s="50">
        <f>ROUND(K35*0.03,5)</f>
        <v>0</v>
      </c>
      <c r="L37" s="50">
        <f>(L35)*3%</f>
        <v>14.41607380060473</v>
      </c>
      <c r="M37" s="90">
        <f>SUM(I37:L37)</f>
        <v>135.00725380060473</v>
      </c>
      <c r="N37" s="84">
        <f>N35*0.03</f>
        <v>612.6031722928559</v>
      </c>
      <c r="O37" s="50">
        <f>O35*0.03</f>
        <v>0</v>
      </c>
      <c r="P37" s="50">
        <f>P35*0.03</f>
        <v>0</v>
      </c>
      <c r="Q37" s="50">
        <f>(Q35-Q34)*0.03</f>
        <v>72.792260245772823</v>
      </c>
      <c r="R37" s="90">
        <f t="shared" ref="R37:R43" si="14">SUM(N37:Q37)</f>
        <v>685.39543253862871</v>
      </c>
      <c r="S37" s="28"/>
      <c r="T37" s="136"/>
      <c r="U37" s="136" t="s">
        <v>34</v>
      </c>
      <c r="V37" s="198" t="e">
        <f>V34-V35-V36</f>
        <v>#REF!</v>
      </c>
    </row>
    <row r="38" spans="1:44" s="32" customFormat="1" ht="12.75" customHeight="1" x14ac:dyDescent="0.2">
      <c r="A38" s="61"/>
      <c r="B38" s="62" t="s">
        <v>13</v>
      </c>
      <c r="C38" s="78" t="s">
        <v>25</v>
      </c>
      <c r="D38" s="86">
        <f>D35+D37</f>
        <v>20080.440595160799</v>
      </c>
      <c r="E38" s="54">
        <f>E35+E37</f>
        <v>0</v>
      </c>
      <c r="F38" s="54">
        <f>F35+F37</f>
        <v>0</v>
      </c>
      <c r="G38" s="54">
        <f>G35+G37</f>
        <v>3028.4184953083832</v>
      </c>
      <c r="H38" s="92">
        <f>SUM(D38:G38)</f>
        <v>23108.859090469181</v>
      </c>
      <c r="I38" s="86">
        <f>I35+I37</f>
        <v>4140.2970349400002</v>
      </c>
      <c r="J38" s="54">
        <f>J35+J37</f>
        <v>0</v>
      </c>
      <c r="K38" s="54">
        <f>K35+K37</f>
        <v>0</v>
      </c>
      <c r="L38" s="54">
        <f>L35+L37</f>
        <v>494.95186715409579</v>
      </c>
      <c r="M38" s="92">
        <f>SUM(I38:L38)</f>
        <v>4635.2489020940957</v>
      </c>
      <c r="N38" s="112">
        <f>N35+N37</f>
        <v>21032.708915388055</v>
      </c>
      <c r="O38" s="161">
        <f>O35+O37</f>
        <v>0</v>
      </c>
      <c r="P38" s="161">
        <f>P35+P37</f>
        <v>0</v>
      </c>
      <c r="Q38" s="161">
        <f>Q35+Q37</f>
        <v>2887.7451351048671</v>
      </c>
      <c r="R38" s="92">
        <f t="shared" si="14"/>
        <v>23920.454050492921</v>
      </c>
      <c r="S38" s="119"/>
    </row>
    <row r="39" spans="1:44" s="25" customFormat="1" ht="31.5" customHeight="1" x14ac:dyDescent="0.2">
      <c r="A39" s="105"/>
      <c r="B39" s="106"/>
      <c r="C39" s="107" t="s">
        <v>100</v>
      </c>
      <c r="D39" s="108"/>
      <c r="E39" s="109"/>
      <c r="F39" s="109"/>
      <c r="G39" s="109"/>
      <c r="H39" s="110"/>
      <c r="I39" s="108"/>
      <c r="J39" s="109"/>
      <c r="K39" s="109"/>
      <c r="L39" s="109"/>
      <c r="M39" s="110"/>
      <c r="N39" s="191">
        <f>(N38-N40)*1.053*1.074*1.036*1.037*1.037*1.038*1.038*1.038+N40</f>
        <v>28397.26649027026</v>
      </c>
      <c r="O39" s="192">
        <f t="shared" ref="O39:P39" si="15">O38*1.053*1.074*1.036*1.037*1.037*1.038*1.038*1.038</f>
        <v>0</v>
      </c>
      <c r="P39" s="192">
        <f t="shared" si="15"/>
        <v>0</v>
      </c>
      <c r="Q39" s="192">
        <f>(Q38-Q34)*1.053*1.074*1.036*1.037*1.037*1.038*1.038*1.038+Q34</f>
        <v>3910.169586729955</v>
      </c>
      <c r="R39" s="193">
        <f t="shared" si="14"/>
        <v>32307.436077000217</v>
      </c>
      <c r="S39" s="120"/>
      <c r="T39" s="221" t="s">
        <v>54</v>
      </c>
      <c r="U39" s="218" t="s">
        <v>35</v>
      </c>
      <c r="V39" s="219"/>
      <c r="W39" s="219"/>
      <c r="X39" s="220"/>
      <c r="Y39" s="221" t="s">
        <v>55</v>
      </c>
      <c r="Z39" s="218" t="s">
        <v>35</v>
      </c>
      <c r="AA39" s="219"/>
      <c r="AB39" s="219"/>
      <c r="AC39" s="220"/>
      <c r="AD39" s="221" t="s">
        <v>36</v>
      </c>
      <c r="AE39" s="218" t="s">
        <v>35</v>
      </c>
      <c r="AF39" s="219"/>
      <c r="AG39" s="219"/>
      <c r="AH39" s="220"/>
      <c r="AI39" s="221" t="s">
        <v>37</v>
      </c>
      <c r="AJ39" s="218" t="s">
        <v>35</v>
      </c>
      <c r="AK39" s="219"/>
      <c r="AL39" s="219"/>
      <c r="AM39" s="220"/>
      <c r="AN39" s="223" t="s">
        <v>56</v>
      </c>
      <c r="AO39" s="225" t="s">
        <v>57</v>
      </c>
      <c r="AP39" s="226"/>
      <c r="AQ39" s="226"/>
      <c r="AR39" s="227"/>
    </row>
    <row r="40" spans="1:44" s="25" customFormat="1" ht="74.25" customHeight="1" x14ac:dyDescent="0.2">
      <c r="A40" s="105"/>
      <c r="B40" s="106"/>
      <c r="C40" s="206" t="s">
        <v>107</v>
      </c>
      <c r="D40" s="108"/>
      <c r="E40" s="109"/>
      <c r="F40" s="109"/>
      <c r="G40" s="109"/>
      <c r="H40" s="110"/>
      <c r="I40" s="108"/>
      <c r="J40" s="109"/>
      <c r="K40" s="109"/>
      <c r="L40" s="109"/>
      <c r="M40" s="110"/>
      <c r="N40" s="118">
        <f>3289.99899-259.11813</f>
        <v>3030.8808600000002</v>
      </c>
      <c r="O40" s="162"/>
      <c r="P40" s="162"/>
      <c r="Q40" s="162"/>
      <c r="R40" s="110">
        <f t="shared" si="14"/>
        <v>3030.8808600000002</v>
      </c>
      <c r="S40" s="114"/>
      <c r="T40" s="222"/>
      <c r="U40" s="137" t="s">
        <v>38</v>
      </c>
      <c r="V40" s="137" t="s">
        <v>39</v>
      </c>
      <c r="W40" s="137" t="s">
        <v>40</v>
      </c>
      <c r="X40" s="137" t="s">
        <v>41</v>
      </c>
      <c r="Y40" s="222"/>
      <c r="Z40" s="137" t="s">
        <v>38</v>
      </c>
      <c r="AA40" s="137" t="s">
        <v>39</v>
      </c>
      <c r="AB40" s="137" t="s">
        <v>40</v>
      </c>
      <c r="AC40" s="137" t="s">
        <v>41</v>
      </c>
      <c r="AD40" s="222"/>
      <c r="AE40" s="137" t="s">
        <v>38</v>
      </c>
      <c r="AF40" s="137" t="s">
        <v>39</v>
      </c>
      <c r="AG40" s="137" t="s">
        <v>40</v>
      </c>
      <c r="AH40" s="137" t="s">
        <v>41</v>
      </c>
      <c r="AI40" s="222"/>
      <c r="AJ40" s="137" t="s">
        <v>38</v>
      </c>
      <c r="AK40" s="137" t="s">
        <v>39</v>
      </c>
      <c r="AL40" s="137" t="s">
        <v>40</v>
      </c>
      <c r="AM40" s="137" t="s">
        <v>41</v>
      </c>
      <c r="AN40" s="224"/>
      <c r="AO40" s="163" t="s">
        <v>38</v>
      </c>
      <c r="AP40" s="163" t="s">
        <v>40</v>
      </c>
      <c r="AQ40" s="163" t="s">
        <v>39</v>
      </c>
      <c r="AR40" s="163" t="s">
        <v>41</v>
      </c>
    </row>
    <row r="41" spans="1:44" s="25" customFormat="1" ht="19.5" customHeight="1" x14ac:dyDescent="0.2">
      <c r="A41" s="61"/>
      <c r="B41" s="63" t="s">
        <v>13</v>
      </c>
      <c r="C41" s="78" t="s">
        <v>26</v>
      </c>
      <c r="D41" s="86">
        <f>D38</f>
        <v>20080.440595160799</v>
      </c>
      <c r="E41" s="54">
        <f>E38</f>
        <v>0</v>
      </c>
      <c r="F41" s="54">
        <f>F38</f>
        <v>0</v>
      </c>
      <c r="G41" s="54">
        <f>G38</f>
        <v>3028.4184953083832</v>
      </c>
      <c r="H41" s="92">
        <f t="shared" si="9"/>
        <v>23108.859090469181</v>
      </c>
      <c r="I41" s="86">
        <f>I38</f>
        <v>4140.2970349400002</v>
      </c>
      <c r="J41" s="54">
        <f>J38</f>
        <v>0</v>
      </c>
      <c r="K41" s="54">
        <f>K38</f>
        <v>0</v>
      </c>
      <c r="L41" s="54">
        <f>L38</f>
        <v>494.95186715409579</v>
      </c>
      <c r="M41" s="92">
        <f>SUM(I41:L41)</f>
        <v>4635.2489020940957</v>
      </c>
      <c r="N41" s="86">
        <f>N39</f>
        <v>28397.26649027026</v>
      </c>
      <c r="O41" s="54">
        <f>O39</f>
        <v>0</v>
      </c>
      <c r="P41" s="54">
        <f t="shared" ref="P41:Q41" si="16">P39</f>
        <v>0</v>
      </c>
      <c r="Q41" s="54">
        <f t="shared" si="16"/>
        <v>3910.169586729955</v>
      </c>
      <c r="R41" s="92">
        <f t="shared" si="14"/>
        <v>32307.436077000217</v>
      </c>
      <c r="S41" s="114"/>
      <c r="T41" s="155">
        <f>H41</f>
        <v>23108.859090469181</v>
      </c>
      <c r="U41" s="155">
        <f>H34</f>
        <v>388.54419999999999</v>
      </c>
      <c r="V41" s="155">
        <f>F41</f>
        <v>0</v>
      </c>
      <c r="W41" s="155">
        <f>D41+E41</f>
        <v>20080.440595160799</v>
      </c>
      <c r="X41" s="155">
        <f>T41-U41-V41-W41</f>
        <v>2639.874295308382</v>
      </c>
      <c r="Y41" s="155">
        <f>M41</f>
        <v>4635.2489020940957</v>
      </c>
      <c r="Z41" s="155">
        <f>M33</f>
        <v>98.365620000000007</v>
      </c>
      <c r="AA41" s="155">
        <f>K41</f>
        <v>0</v>
      </c>
      <c r="AB41" s="155">
        <f>I41+J41</f>
        <v>4140.2970349400002</v>
      </c>
      <c r="AC41" s="155">
        <f>Y41-Z41-AA41-AB41</f>
        <v>396.58624715409587</v>
      </c>
      <c r="AD41" s="155">
        <f>R39</f>
        <v>32307.436077000217</v>
      </c>
      <c r="AE41" s="156">
        <f>R34</f>
        <v>388.54419999999999</v>
      </c>
      <c r="AF41" s="155">
        <f>P39</f>
        <v>0</v>
      </c>
      <c r="AG41" s="155">
        <f>N39+O39</f>
        <v>28397.26649027026</v>
      </c>
      <c r="AH41" s="155">
        <f>AD41-AE41-AF41-AG41</f>
        <v>3521.6253867299565</v>
      </c>
      <c r="AI41" s="155">
        <f>R41</f>
        <v>32307.436077000217</v>
      </c>
      <c r="AJ41" s="155">
        <f>AE41</f>
        <v>388.54419999999999</v>
      </c>
      <c r="AK41" s="155">
        <f>P40</f>
        <v>0</v>
      </c>
      <c r="AL41" s="155">
        <f>AG41</f>
        <v>28397.26649027026</v>
      </c>
      <c r="AM41" s="155">
        <f>AI41-AJ41-AK41-AL41</f>
        <v>3521.6253867299565</v>
      </c>
      <c r="AN41" s="155">
        <f>V34</f>
        <v>31909.592577000218</v>
      </c>
      <c r="AO41" s="155"/>
      <c r="AP41" s="155" t="e">
        <f>#REF!+#REF!</f>
        <v>#REF!</v>
      </c>
      <c r="AQ41" s="155" t="e">
        <f>#REF!</f>
        <v>#REF!</v>
      </c>
      <c r="AR41" s="155" t="e">
        <f>AN41-AO41-AP41-AQ41</f>
        <v>#REF!</v>
      </c>
    </row>
    <row r="42" spans="1:44" s="25" customFormat="1" x14ac:dyDescent="0.2">
      <c r="A42" s="58"/>
      <c r="B42" s="64" t="s">
        <v>13</v>
      </c>
      <c r="C42" s="74" t="s">
        <v>64</v>
      </c>
      <c r="D42" s="84">
        <f>D41*0.2</f>
        <v>4016.0881190321597</v>
      </c>
      <c r="E42" s="50">
        <f>E41*0.2</f>
        <v>0</v>
      </c>
      <c r="F42" s="50">
        <f>F41*0.2</f>
        <v>0</v>
      </c>
      <c r="G42" s="50">
        <f>(G41)*0.2</f>
        <v>605.68369906167663</v>
      </c>
      <c r="H42" s="90">
        <f t="shared" si="9"/>
        <v>4621.7718180938364</v>
      </c>
      <c r="I42" s="84">
        <f>I41*0.2</f>
        <v>828.05940698800009</v>
      </c>
      <c r="J42" s="50">
        <f>J41*0.2</f>
        <v>0</v>
      </c>
      <c r="K42" s="50">
        <f>K41*0.2</f>
        <v>0</v>
      </c>
      <c r="L42" s="50">
        <f>(L41)*0.2</f>
        <v>98.990373430819162</v>
      </c>
      <c r="M42" s="90">
        <f>SUM(I42:L42)</f>
        <v>927.0497804188193</v>
      </c>
      <c r="N42" s="84">
        <f>N41*0.2</f>
        <v>5679.4532980540525</v>
      </c>
      <c r="O42" s="50">
        <f>O41*0.2</f>
        <v>0</v>
      </c>
      <c r="P42" s="50">
        <f>P41*0.2</f>
        <v>0</v>
      </c>
      <c r="Q42" s="50">
        <f>(Q41-Q33)*0.2+Q33*0.18</f>
        <v>774.26303334599106</v>
      </c>
      <c r="R42" s="90">
        <f t="shared" si="14"/>
        <v>6453.7163314000436</v>
      </c>
      <c r="S42" s="114"/>
    </row>
    <row r="43" spans="1:44" s="25" customFormat="1" ht="13.5" thickBot="1" x14ac:dyDescent="0.25">
      <c r="A43" s="52"/>
      <c r="B43" s="64" t="s">
        <v>13</v>
      </c>
      <c r="C43" s="74" t="s">
        <v>27</v>
      </c>
      <c r="D43" s="98">
        <f>D41+D42</f>
        <v>24096.528714192958</v>
      </c>
      <c r="E43" s="99">
        <f>E41+E42</f>
        <v>0</v>
      </c>
      <c r="F43" s="99">
        <f>F41+F42</f>
        <v>0</v>
      </c>
      <c r="G43" s="99">
        <f>G41+G42</f>
        <v>3634.1021943700598</v>
      </c>
      <c r="H43" s="194">
        <f t="shared" si="9"/>
        <v>27730.63090856302</v>
      </c>
      <c r="I43" s="98">
        <f>I41+I42</f>
        <v>4968.3564419280001</v>
      </c>
      <c r="J43" s="99">
        <f>J41+J42</f>
        <v>0</v>
      </c>
      <c r="K43" s="99">
        <f>K41+K42</f>
        <v>0</v>
      </c>
      <c r="L43" s="99">
        <f>L41+L42</f>
        <v>593.942240584915</v>
      </c>
      <c r="M43" s="194">
        <f>SUM(I43:L43)</f>
        <v>5562.2986825129155</v>
      </c>
      <c r="N43" s="98">
        <f>N41+N42</f>
        <v>34076.719788324313</v>
      </c>
      <c r="O43" s="99">
        <f>O41+O42</f>
        <v>0</v>
      </c>
      <c r="P43" s="99">
        <f>P41+P42</f>
        <v>0</v>
      </c>
      <c r="Q43" s="99">
        <f>Q41+Q42</f>
        <v>4684.432620075946</v>
      </c>
      <c r="R43" s="194">
        <f t="shared" si="14"/>
        <v>38761.152408400259</v>
      </c>
      <c r="S43" s="114"/>
    </row>
    <row r="44" spans="1:44" x14ac:dyDescent="0.2">
      <c r="A44" s="65" t="s">
        <v>13</v>
      </c>
      <c r="B44" s="228" t="s">
        <v>13</v>
      </c>
      <c r="C44" s="229"/>
      <c r="D44" s="230" t="s">
        <v>13</v>
      </c>
      <c r="E44" s="231"/>
      <c r="F44" s="232" t="s">
        <v>13</v>
      </c>
      <c r="G44" s="233"/>
      <c r="H44" s="233"/>
      <c r="I44" s="34"/>
      <c r="J44" s="34"/>
      <c r="K44" s="34"/>
      <c r="L44" s="34"/>
      <c r="M44" s="35"/>
      <c r="N44" s="36"/>
      <c r="O44" s="36"/>
      <c r="P44" s="36"/>
      <c r="Q44" s="36"/>
      <c r="R44" s="36"/>
    </row>
    <row r="45" spans="1:44" ht="48" customHeight="1" x14ac:dyDescent="0.2">
      <c r="A45" s="65"/>
      <c r="B45" s="215" t="s">
        <v>81</v>
      </c>
      <c r="C45" s="215"/>
      <c r="D45" s="215"/>
      <c r="E45" s="215"/>
      <c r="F45" s="215"/>
      <c r="G45" s="215"/>
      <c r="H45" s="215"/>
      <c r="I45" s="66"/>
      <c r="J45" s="66"/>
      <c r="K45" s="66"/>
      <c r="L45" s="66"/>
      <c r="M45" s="66"/>
      <c r="N45" s="36"/>
      <c r="O45" s="36"/>
      <c r="P45" s="36"/>
      <c r="Q45" s="36"/>
      <c r="R45" s="69"/>
    </row>
    <row r="46" spans="1:44" ht="37.5" customHeight="1" x14ac:dyDescent="0.2">
      <c r="A46" s="65"/>
      <c r="B46" s="216" t="s">
        <v>58</v>
      </c>
      <c r="C46" s="216"/>
      <c r="D46" s="216"/>
      <c r="E46" s="216"/>
      <c r="F46" s="216"/>
      <c r="G46" s="216"/>
      <c r="H46" s="216"/>
      <c r="I46" s="66"/>
      <c r="J46" s="66"/>
      <c r="K46" s="66"/>
      <c r="L46" s="36"/>
      <c r="M46" s="36"/>
      <c r="N46" s="36"/>
      <c r="O46" s="36"/>
      <c r="P46" s="36"/>
      <c r="Q46" s="36"/>
      <c r="R46" s="36"/>
    </row>
    <row r="47" spans="1:44" ht="31.5" customHeight="1" x14ac:dyDescent="0.2">
      <c r="A47" s="65"/>
      <c r="B47" s="217" t="s">
        <v>28</v>
      </c>
      <c r="C47" s="217"/>
      <c r="D47" s="217"/>
      <c r="E47" s="217"/>
      <c r="F47" s="217"/>
      <c r="G47" s="67"/>
      <c r="H47" s="208" t="s">
        <v>63</v>
      </c>
      <c r="I47" s="209"/>
      <c r="J47" s="209"/>
      <c r="K47" s="209"/>
      <c r="L47" s="209"/>
      <c r="M47" s="210"/>
      <c r="N47" s="211">
        <f>H41</f>
        <v>23108.859090469181</v>
      </c>
      <c r="O47" s="212"/>
      <c r="P47" s="213" t="s">
        <v>30</v>
      </c>
      <c r="Q47" s="213"/>
      <c r="S47" s="22"/>
      <c r="T47" s="22"/>
      <c r="U47" s="22"/>
      <c r="V47" s="22"/>
      <c r="W47" s="22"/>
      <c r="X47" s="22"/>
      <c r="Y47" s="22"/>
    </row>
    <row r="48" spans="1:44" ht="39" customHeight="1" x14ac:dyDescent="0.2">
      <c r="A48" s="36"/>
      <c r="B48" s="207" t="s">
        <v>108</v>
      </c>
      <c r="C48" s="207"/>
      <c r="D48" s="68"/>
      <c r="E48" s="68"/>
      <c r="F48" s="167" t="s">
        <v>61</v>
      </c>
      <c r="G48" s="36"/>
      <c r="H48" s="208" t="s">
        <v>82</v>
      </c>
      <c r="I48" s="209"/>
      <c r="J48" s="209"/>
      <c r="K48" s="209"/>
      <c r="L48" s="209"/>
      <c r="M48" s="210"/>
      <c r="N48" s="211">
        <f>R39</f>
        <v>32307.436077000217</v>
      </c>
      <c r="O48" s="212"/>
      <c r="P48" s="213" t="s">
        <v>30</v>
      </c>
      <c r="Q48" s="213"/>
      <c r="S48" s="22"/>
    </row>
    <row r="49" spans="1:19" ht="45" customHeight="1" x14ac:dyDescent="0.2">
      <c r="A49" s="36"/>
      <c r="B49" s="68"/>
      <c r="C49" s="68"/>
      <c r="D49" s="68"/>
      <c r="E49" s="68"/>
      <c r="S49" s="22"/>
    </row>
    <row r="50" spans="1:19" ht="45" customHeight="1" x14ac:dyDescent="0.2">
      <c r="A50" s="36"/>
      <c r="B50" s="36"/>
      <c r="C50" s="36"/>
      <c r="D50" s="36"/>
      <c r="E50" s="36"/>
      <c r="F50" s="36"/>
      <c r="G50" s="36"/>
      <c r="S50" s="22"/>
    </row>
    <row r="51" spans="1:19" ht="19.5" customHeight="1" x14ac:dyDescent="0.25">
      <c r="J51" s="10"/>
      <c r="K51" s="10"/>
      <c r="L51" s="214"/>
      <c r="M51" s="214"/>
      <c r="N51" s="11"/>
      <c r="O51" s="11"/>
      <c r="P51" s="11"/>
      <c r="S51" s="23"/>
    </row>
  </sheetData>
  <mergeCells count="48">
    <mergeCell ref="A1:M1"/>
    <mergeCell ref="N1:R1"/>
    <mergeCell ref="A2:M2"/>
    <mergeCell ref="N2:R4"/>
    <mergeCell ref="A3:B3"/>
    <mergeCell ref="C3:H3"/>
    <mergeCell ref="A4:B4"/>
    <mergeCell ref="C4:H4"/>
    <mergeCell ref="A32:C32"/>
    <mergeCell ref="N5:R5"/>
    <mergeCell ref="A7:R7"/>
    <mergeCell ref="A8:H8"/>
    <mergeCell ref="A9:A10"/>
    <mergeCell ref="B9:B10"/>
    <mergeCell ref="C9:C10"/>
    <mergeCell ref="D9:H9"/>
    <mergeCell ref="I9:M9"/>
    <mergeCell ref="N9:R9"/>
    <mergeCell ref="A12:C12"/>
    <mergeCell ref="A15:C15"/>
    <mergeCell ref="A19:C19"/>
    <mergeCell ref="A23:C23"/>
    <mergeCell ref="A28:C28"/>
    <mergeCell ref="AO39:AR39"/>
    <mergeCell ref="B44:C44"/>
    <mergeCell ref="D44:E44"/>
    <mergeCell ref="F44:H44"/>
    <mergeCell ref="A36:C36"/>
    <mergeCell ref="T39:T40"/>
    <mergeCell ref="U39:X39"/>
    <mergeCell ref="Y39:Y40"/>
    <mergeCell ref="Z39:AC39"/>
    <mergeCell ref="AD39:AD40"/>
    <mergeCell ref="P47:Q47"/>
    <mergeCell ref="AE39:AH39"/>
    <mergeCell ref="AI39:AI40"/>
    <mergeCell ref="AJ39:AM39"/>
    <mergeCell ref="AN39:AN40"/>
    <mergeCell ref="B45:H45"/>
    <mergeCell ref="B46:H46"/>
    <mergeCell ref="B47:F47"/>
    <mergeCell ref="H47:M47"/>
    <mergeCell ref="N47:O47"/>
    <mergeCell ref="B48:C48"/>
    <mergeCell ref="H48:M48"/>
    <mergeCell ref="N48:O48"/>
    <mergeCell ref="P48:Q48"/>
    <mergeCell ref="L51:M51"/>
  </mergeCells>
  <conditionalFormatting sqref="AN39:AO39 AO40:AR40 U40:X40 T39:U39 Z40:AC40 AI39:AJ39 AJ40:AM40 AE40:AH40 AD39:AE39 Y39:Z39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9"/>
  <sheetViews>
    <sheetView topLeftCell="A10" zoomScale="80" zoomScaleNormal="80" workbookViewId="0">
      <selection activeCell="H11" sqref="H11"/>
    </sheetView>
  </sheetViews>
  <sheetFormatPr defaultRowHeight="15" x14ac:dyDescent="0.25"/>
  <cols>
    <col min="1" max="1" width="9.140625" style="271"/>
    <col min="2" max="2" width="22" style="271" customWidth="1"/>
    <col min="3" max="3" width="68.140625" style="271" customWidth="1"/>
    <col min="4" max="4" width="20.85546875" style="271" customWidth="1"/>
    <col min="5" max="5" width="20.7109375" style="271" customWidth="1"/>
    <col min="6" max="6" width="20" style="271" customWidth="1"/>
    <col min="7" max="7" width="19.28515625" style="271" customWidth="1"/>
    <col min="8" max="8" width="20.42578125" style="271" customWidth="1"/>
    <col min="9" max="16384" width="9.140625" style="271"/>
  </cols>
  <sheetData>
    <row r="1" spans="1:8" x14ac:dyDescent="0.25">
      <c r="A1" s="268"/>
      <c r="B1" s="269"/>
      <c r="C1" s="268"/>
      <c r="D1" s="268"/>
      <c r="E1" s="268"/>
      <c r="F1" s="268"/>
      <c r="G1" s="268"/>
      <c r="H1" s="270" t="s">
        <v>0</v>
      </c>
    </row>
    <row r="2" spans="1:8" x14ac:dyDescent="0.25">
      <c r="A2" s="268"/>
      <c r="B2" s="269"/>
      <c r="C2" s="268"/>
      <c r="D2" s="272" t="s">
        <v>103</v>
      </c>
      <c r="E2" s="272"/>
      <c r="F2" s="272"/>
      <c r="G2" s="272"/>
      <c r="H2" s="272"/>
    </row>
    <row r="3" spans="1:8" x14ac:dyDescent="0.25">
      <c r="A3" s="273"/>
      <c r="B3" s="274"/>
      <c r="C3" s="275"/>
      <c r="D3" s="272"/>
      <c r="E3" s="272"/>
      <c r="F3" s="272"/>
      <c r="G3" s="272"/>
      <c r="H3" s="272"/>
    </row>
    <row r="4" spans="1:8" ht="21" customHeight="1" x14ac:dyDescent="0.25">
      <c r="A4" s="273"/>
      <c r="B4" s="276"/>
      <c r="C4" s="277"/>
      <c r="D4" s="272"/>
      <c r="E4" s="272"/>
      <c r="F4" s="272"/>
      <c r="G4" s="272"/>
      <c r="H4" s="272"/>
    </row>
    <row r="5" spans="1:8" ht="54" customHeight="1" x14ac:dyDescent="0.25">
      <c r="A5" s="273"/>
      <c r="B5" s="276"/>
      <c r="C5" s="277"/>
      <c r="D5" s="278"/>
      <c r="E5" s="278"/>
      <c r="F5" s="279"/>
      <c r="G5" s="279"/>
      <c r="H5" s="280" t="s">
        <v>59</v>
      </c>
    </row>
    <row r="6" spans="1:8" ht="35.25" customHeight="1" x14ac:dyDescent="0.25">
      <c r="A6" s="281" t="s">
        <v>110</v>
      </c>
      <c r="B6" s="281"/>
      <c r="C6" s="281"/>
      <c r="D6" s="281"/>
      <c r="E6" s="281"/>
      <c r="F6" s="281"/>
      <c r="G6" s="281"/>
      <c r="H6" s="281"/>
    </row>
    <row r="7" spans="1:8" x14ac:dyDescent="0.25">
      <c r="A7" s="282"/>
      <c r="B7" s="276"/>
      <c r="C7" s="283"/>
      <c r="D7" s="283"/>
      <c r="E7" s="283"/>
      <c r="F7" s="283"/>
      <c r="G7" s="283"/>
      <c r="H7" s="283"/>
    </row>
    <row r="8" spans="1:8" ht="15.75" thickBot="1" x14ac:dyDescent="0.3">
      <c r="A8" s="284" t="s">
        <v>80</v>
      </c>
      <c r="B8" s="284"/>
      <c r="C8" s="284"/>
      <c r="D8" s="284"/>
      <c r="E8" s="284"/>
      <c r="F8" s="284"/>
      <c r="G8" s="284"/>
      <c r="H8" s="284"/>
    </row>
    <row r="9" spans="1:8" ht="15.75" thickBot="1" x14ac:dyDescent="0.3">
      <c r="A9" s="285" t="s">
        <v>1</v>
      </c>
      <c r="B9" s="286" t="s">
        <v>42</v>
      </c>
      <c r="C9" s="287" t="s">
        <v>43</v>
      </c>
      <c r="D9" s="288" t="s">
        <v>44</v>
      </c>
      <c r="E9" s="289"/>
      <c r="F9" s="289"/>
      <c r="G9" s="289"/>
      <c r="H9" s="290" t="s">
        <v>9</v>
      </c>
    </row>
    <row r="10" spans="1:8" ht="21.75" thickBot="1" x14ac:dyDescent="0.3">
      <c r="A10" s="291"/>
      <c r="B10" s="292"/>
      <c r="C10" s="293"/>
      <c r="D10" s="294" t="s">
        <v>5</v>
      </c>
      <c r="E10" s="295" t="s">
        <v>6</v>
      </c>
      <c r="F10" s="295" t="s">
        <v>7</v>
      </c>
      <c r="G10" s="296" t="s">
        <v>8</v>
      </c>
      <c r="H10" s="297"/>
    </row>
    <row r="11" spans="1:8" ht="15.75" thickBot="1" x14ac:dyDescent="0.3">
      <c r="A11" s="298">
        <v>1</v>
      </c>
      <c r="B11" s="299">
        <v>2</v>
      </c>
      <c r="C11" s="300">
        <v>3</v>
      </c>
      <c r="D11" s="301">
        <v>4</v>
      </c>
      <c r="E11" s="302">
        <v>5</v>
      </c>
      <c r="F11" s="302">
        <v>6</v>
      </c>
      <c r="G11" s="303">
        <v>7</v>
      </c>
      <c r="H11" s="304">
        <v>8</v>
      </c>
    </row>
    <row r="12" spans="1:8" x14ac:dyDescent="0.25">
      <c r="A12" s="305" t="s">
        <v>10</v>
      </c>
      <c r="B12" s="306"/>
      <c r="C12" s="307"/>
      <c r="D12" s="308"/>
      <c r="E12" s="309"/>
      <c r="F12" s="309"/>
      <c r="G12" s="309"/>
      <c r="H12" s="310"/>
    </row>
    <row r="13" spans="1:8" x14ac:dyDescent="0.25">
      <c r="A13" s="311"/>
      <c r="B13" s="312"/>
      <c r="C13" s="313"/>
      <c r="D13" s="172"/>
      <c r="E13" s="146"/>
      <c r="F13" s="146"/>
      <c r="G13" s="146">
        <v>0</v>
      </c>
      <c r="H13" s="314">
        <f>SUM(D13:G13)</f>
        <v>0</v>
      </c>
    </row>
    <row r="14" spans="1:8" x14ac:dyDescent="0.25">
      <c r="A14" s="315" t="s">
        <v>12</v>
      </c>
      <c r="B14" s="306"/>
      <c r="C14" s="307"/>
      <c r="D14" s="316"/>
      <c r="E14" s="317"/>
      <c r="F14" s="317"/>
      <c r="G14" s="317"/>
      <c r="H14" s="318"/>
    </row>
    <row r="15" spans="1:8" x14ac:dyDescent="0.25">
      <c r="A15" s="47">
        <v>1</v>
      </c>
      <c r="B15" s="48" t="s">
        <v>92</v>
      </c>
      <c r="C15" s="157" t="s">
        <v>93</v>
      </c>
      <c r="D15" s="160">
        <f>'Расчет 004-55-1-01.12-1314'!I16</f>
        <v>3891.2931800000001</v>
      </c>
      <c r="E15" s="115">
        <v>0</v>
      </c>
      <c r="F15" s="115">
        <v>0</v>
      </c>
      <c r="G15" s="199">
        <v>0</v>
      </c>
      <c r="H15" s="116">
        <f>SUM(D15:G15)</f>
        <v>3891.2931800000001</v>
      </c>
    </row>
    <row r="16" spans="1:8" x14ac:dyDescent="0.25">
      <c r="A16" s="315" t="s">
        <v>14</v>
      </c>
      <c r="B16" s="306"/>
      <c r="C16" s="307"/>
      <c r="D16" s="113"/>
      <c r="E16" s="55"/>
      <c r="F16" s="55"/>
      <c r="G16" s="55"/>
      <c r="H16" s="319"/>
    </row>
    <row r="17" spans="1:13" ht="30" x14ac:dyDescent="0.25">
      <c r="A17" s="311">
        <v>2</v>
      </c>
      <c r="B17" s="312" t="s">
        <v>45</v>
      </c>
      <c r="C17" s="320" t="s">
        <v>96</v>
      </c>
      <c r="D17" s="160">
        <f>D15*3.3%</f>
        <v>128.41267494000002</v>
      </c>
      <c r="E17" s="115">
        <f>E15*3.3%</f>
        <v>0</v>
      </c>
      <c r="F17" s="115"/>
      <c r="G17" s="115"/>
      <c r="H17" s="321"/>
    </row>
    <row r="18" spans="1:13" x14ac:dyDescent="0.25">
      <c r="A18" s="315" t="s">
        <v>17</v>
      </c>
      <c r="B18" s="306"/>
      <c r="C18" s="307"/>
      <c r="D18" s="113"/>
      <c r="E18" s="55"/>
      <c r="F18" s="55"/>
      <c r="G18" s="55"/>
      <c r="H18" s="319"/>
    </row>
    <row r="19" spans="1:13" ht="45" x14ac:dyDescent="0.25">
      <c r="A19" s="322">
        <v>3</v>
      </c>
      <c r="B19" s="323" t="s">
        <v>89</v>
      </c>
      <c r="C19" s="313" t="s">
        <v>90</v>
      </c>
      <c r="D19" s="324"/>
      <c r="E19" s="117"/>
      <c r="F19" s="117"/>
      <c r="G19" s="117">
        <f>'Расчет 004-55-1-01.12-1314'!L25</f>
        <v>191.46088</v>
      </c>
      <c r="H19" s="321">
        <f>D19+E19+F19+G19</f>
        <v>191.46088</v>
      </c>
    </row>
    <row r="20" spans="1:13" ht="21.75" customHeight="1" x14ac:dyDescent="0.25">
      <c r="A20" s="325"/>
      <c r="B20" s="326" t="s">
        <v>13</v>
      </c>
      <c r="C20" s="327" t="s">
        <v>46</v>
      </c>
      <c r="D20" s="328">
        <f>(D15+D17+D19)</f>
        <v>4019.7058549400003</v>
      </c>
      <c r="E20" s="329">
        <f>(E15+E17+E19)</f>
        <v>0</v>
      </c>
      <c r="F20" s="329">
        <f>(F15+F17+F19)</f>
        <v>0</v>
      </c>
      <c r="G20" s="329">
        <f>(G15+G17+G19)</f>
        <v>191.46088</v>
      </c>
      <c r="H20" s="330">
        <f t="shared" ref="H20" si="0">SUM(D20:G20)</f>
        <v>4211.1667349400004</v>
      </c>
    </row>
    <row r="21" spans="1:13" ht="30" x14ac:dyDescent="0.25">
      <c r="A21" s="322">
        <v>4</v>
      </c>
      <c r="B21" s="323" t="s">
        <v>47</v>
      </c>
      <c r="C21" s="313" t="s">
        <v>48</v>
      </c>
      <c r="D21" s="324">
        <f>D20*1.5%</f>
        <v>60.295587824100004</v>
      </c>
      <c r="E21" s="117">
        <f>E20*1.5%</f>
        <v>0</v>
      </c>
      <c r="F21" s="117">
        <f t="shared" ref="F21:G21" si="1">F20*1.5%</f>
        <v>0</v>
      </c>
      <c r="G21" s="117">
        <f t="shared" si="1"/>
        <v>2.8719131999999998</v>
      </c>
      <c r="H21" s="321">
        <f>D21+E21+F21+G21</f>
        <v>63.167501024100005</v>
      </c>
    </row>
    <row r="22" spans="1:13" x14ac:dyDescent="0.25">
      <c r="A22" s="322">
        <v>5</v>
      </c>
      <c r="B22" s="326" t="s">
        <v>13</v>
      </c>
      <c r="C22" s="313" t="s">
        <v>49</v>
      </c>
      <c r="D22" s="112">
        <f>D20+D21</f>
        <v>4080.0014427641004</v>
      </c>
      <c r="E22" s="54">
        <f>E20+E21</f>
        <v>0</v>
      </c>
      <c r="F22" s="54">
        <f>F20+F21</f>
        <v>0</v>
      </c>
      <c r="G22" s="54">
        <f>G20+G21</f>
        <v>194.3327932</v>
      </c>
      <c r="H22" s="330">
        <f>SUM(D22:G22)</f>
        <v>4274.3342359641001</v>
      </c>
    </row>
    <row r="23" spans="1:13" ht="30" x14ac:dyDescent="0.25">
      <c r="A23" s="203"/>
      <c r="B23" s="331"/>
      <c r="C23" s="205" t="s">
        <v>104</v>
      </c>
      <c r="D23" s="173">
        <v>5.5</v>
      </c>
      <c r="E23" s="171">
        <v>5.5</v>
      </c>
      <c r="F23" s="171"/>
      <c r="G23" s="171">
        <v>9.43</v>
      </c>
      <c r="H23" s="116"/>
    </row>
    <row r="24" spans="1:13" x14ac:dyDescent="0.25">
      <c r="A24" s="332"/>
      <c r="B24" s="331"/>
      <c r="C24" s="333" t="s">
        <v>105</v>
      </c>
      <c r="D24" s="112">
        <f>D22*D23</f>
        <v>22440.007935202553</v>
      </c>
      <c r="E24" s="54">
        <f>E22*E23</f>
        <v>0</v>
      </c>
      <c r="F24" s="54">
        <f t="shared" ref="F24:G24" si="2">F22*F23</f>
        <v>0</v>
      </c>
      <c r="G24" s="54">
        <f t="shared" si="2"/>
        <v>1832.558239876</v>
      </c>
      <c r="H24" s="334">
        <f>SUM(D24:G24)</f>
        <v>24272.566175078555</v>
      </c>
    </row>
    <row r="25" spans="1:13" ht="44.25" customHeight="1" x14ac:dyDescent="0.25">
      <c r="A25" s="332"/>
      <c r="B25" s="204"/>
      <c r="C25" s="205" t="s">
        <v>95</v>
      </c>
      <c r="D25" s="335">
        <v>2379.0921499999999</v>
      </c>
      <c r="E25" s="336"/>
      <c r="F25" s="336"/>
      <c r="G25" s="336"/>
      <c r="H25" s="116"/>
    </row>
    <row r="26" spans="1:13" x14ac:dyDescent="0.25">
      <c r="A26" s="332"/>
      <c r="B26" s="204"/>
      <c r="C26" s="333" t="s">
        <v>88</v>
      </c>
      <c r="D26" s="328">
        <f>D24-D25</f>
        <v>20060.915785202553</v>
      </c>
      <c r="E26" s="329">
        <f t="shared" ref="E26:F26" si="3">E24</f>
        <v>0</v>
      </c>
      <c r="F26" s="329">
        <f t="shared" si="3"/>
        <v>0</v>
      </c>
      <c r="G26" s="329">
        <f>G24</f>
        <v>1832.558239876</v>
      </c>
      <c r="H26" s="334">
        <f>SUM(D26:G26)</f>
        <v>21893.474025078554</v>
      </c>
    </row>
    <row r="27" spans="1:13" ht="30" x14ac:dyDescent="0.25">
      <c r="A27" s="332"/>
      <c r="B27" s="204"/>
      <c r="C27" s="337" t="s">
        <v>97</v>
      </c>
      <c r="D27" s="338">
        <f>L27-L30</f>
        <v>15532.02133</v>
      </c>
      <c r="E27" s="339"/>
      <c r="F27" s="339"/>
      <c r="G27" s="339"/>
      <c r="H27" s="340">
        <f>SUM(D27:G27)</f>
        <v>15532.02133</v>
      </c>
      <c r="L27" s="341">
        <v>18196.140429999999</v>
      </c>
      <c r="M27" s="341" t="s">
        <v>98</v>
      </c>
    </row>
    <row r="28" spans="1:13" ht="30" x14ac:dyDescent="0.25">
      <c r="A28" s="203"/>
      <c r="B28" s="204" t="s">
        <v>13</v>
      </c>
      <c r="C28" s="205" t="s">
        <v>101</v>
      </c>
      <c r="D28" s="342">
        <f>1.036*1.037*1.037*1.038*1.038*1.038</f>
        <v>1.2459750007533754</v>
      </c>
      <c r="E28" s="343">
        <f t="shared" ref="E28:G28" si="4">1.036*1.037*1.037*1.038*1.038*1.038</f>
        <v>1.2459750007533754</v>
      </c>
      <c r="F28" s="343">
        <f t="shared" si="4"/>
        <v>1.2459750007533754</v>
      </c>
      <c r="G28" s="343">
        <f t="shared" si="4"/>
        <v>1.2459750007533754</v>
      </c>
      <c r="H28" s="344"/>
    </row>
    <row r="29" spans="1:13" x14ac:dyDescent="0.25">
      <c r="A29" s="332"/>
      <c r="B29" s="204"/>
      <c r="C29" s="333" t="s">
        <v>102</v>
      </c>
      <c r="D29" s="328">
        <f>D26*D28</f>
        <v>24995.399560581151</v>
      </c>
      <c r="E29" s="329">
        <f t="shared" ref="E29:F29" si="5">E26*E28</f>
        <v>0</v>
      </c>
      <c r="F29" s="329">
        <f t="shared" si="5"/>
        <v>0</v>
      </c>
      <c r="G29" s="329">
        <f>G26*G28</f>
        <v>2283.3217543101036</v>
      </c>
      <c r="H29" s="345">
        <f>SUM(D29:G29)</f>
        <v>27278.721314891256</v>
      </c>
    </row>
    <row r="30" spans="1:13" x14ac:dyDescent="0.25">
      <c r="A30" s="203"/>
      <c r="B30" s="204"/>
      <c r="C30" s="333" t="s">
        <v>64</v>
      </c>
      <c r="D30" s="324">
        <f>D27*0.2</f>
        <v>3106.404266</v>
      </c>
      <c r="E30" s="117">
        <f>E26*0.2</f>
        <v>0</v>
      </c>
      <c r="F30" s="117">
        <f t="shared" ref="F30:G30" si="6">F26*0.2</f>
        <v>0</v>
      </c>
      <c r="G30" s="117">
        <f t="shared" si="6"/>
        <v>366.51164797520005</v>
      </c>
      <c r="H30" s="116">
        <f>SUM(D30:G30)</f>
        <v>3472.9159139752001</v>
      </c>
      <c r="L30" s="341">
        <v>2664.1190999999999</v>
      </c>
      <c r="M30" s="341" t="s">
        <v>99</v>
      </c>
    </row>
    <row r="31" spans="1:13" ht="39.75" customHeight="1" thickBot="1" x14ac:dyDescent="0.3">
      <c r="A31" s="203"/>
      <c r="B31" s="204"/>
      <c r="C31" s="205" t="s">
        <v>50</v>
      </c>
      <c r="D31" s="346">
        <f>D29+D30</f>
        <v>28101.803826581152</v>
      </c>
      <c r="E31" s="347">
        <f>E26+E30</f>
        <v>0</v>
      </c>
      <c r="F31" s="347">
        <f t="shared" ref="F31" si="7">F26+F30</f>
        <v>0</v>
      </c>
      <c r="G31" s="347">
        <f>G29+G30</f>
        <v>2649.8334022853037</v>
      </c>
      <c r="H31" s="348">
        <f>SUM(D31:G31)</f>
        <v>30751.637228866457</v>
      </c>
    </row>
    <row r="32" spans="1:13" x14ac:dyDescent="0.25">
      <c r="A32" s="349" t="s">
        <v>13</v>
      </c>
      <c r="B32" s="350" t="s">
        <v>13</v>
      </c>
      <c r="C32" s="351"/>
      <c r="D32" s="352" t="s">
        <v>13</v>
      </c>
      <c r="E32" s="353"/>
      <c r="F32" s="354" t="s">
        <v>13</v>
      </c>
      <c r="G32" s="355"/>
      <c r="H32" s="355"/>
    </row>
    <row r="33" spans="1:8" x14ac:dyDescent="0.25">
      <c r="A33" s="349"/>
      <c r="B33" s="158"/>
      <c r="C33" s="356"/>
      <c r="D33" s="356"/>
      <c r="E33" s="356"/>
      <c r="F33" s="356"/>
      <c r="G33" s="356"/>
      <c r="H33" s="356"/>
    </row>
    <row r="34" spans="1:8" ht="54" customHeight="1" x14ac:dyDescent="0.25">
      <c r="A34" s="349"/>
      <c r="B34" s="357" t="s">
        <v>51</v>
      </c>
      <c r="C34" s="358" t="s">
        <v>29</v>
      </c>
      <c r="E34" s="359" t="s">
        <v>60</v>
      </c>
      <c r="F34" s="360"/>
      <c r="G34" s="360"/>
      <c r="H34" s="360"/>
    </row>
    <row r="35" spans="1:8" x14ac:dyDescent="0.25">
      <c r="A35" s="349"/>
      <c r="B35" s="158"/>
      <c r="C35" s="356"/>
      <c r="D35" s="356"/>
      <c r="E35" s="356"/>
      <c r="F35" s="356"/>
      <c r="G35" s="356"/>
      <c r="H35" s="356"/>
    </row>
    <row r="36" spans="1:8" ht="15.75" x14ac:dyDescent="0.25">
      <c r="A36" s="25"/>
      <c r="B36" s="359" t="s">
        <v>52</v>
      </c>
      <c r="C36" s="361" t="s">
        <v>70</v>
      </c>
      <c r="E36" s="361" t="s">
        <v>83</v>
      </c>
      <c r="F36" s="362"/>
      <c r="G36" s="362"/>
      <c r="H36" s="270"/>
    </row>
    <row r="37" spans="1:8" ht="14.25" customHeight="1" x14ac:dyDescent="0.25">
      <c r="A37" s="25"/>
      <c r="B37" s="363"/>
      <c r="C37" s="25"/>
      <c r="D37" s="25"/>
      <c r="E37" s="25"/>
      <c r="F37" s="25"/>
      <c r="G37" s="270"/>
      <c r="H37" s="270"/>
    </row>
    <row r="38" spans="1:8" x14ac:dyDescent="0.25">
      <c r="A38" s="25"/>
      <c r="C38" s="362"/>
      <c r="D38" s="362"/>
      <c r="E38" s="362"/>
      <c r="F38" s="362"/>
      <c r="G38" s="9"/>
      <c r="H38" s="9"/>
    </row>
    <row r="39" spans="1:8" ht="39" customHeight="1" x14ac:dyDescent="0.25">
      <c r="A39" s="25"/>
      <c r="B39" s="359" t="s">
        <v>71</v>
      </c>
      <c r="C39" s="364" t="s">
        <v>66</v>
      </c>
      <c r="E39" s="359" t="s">
        <v>53</v>
      </c>
      <c r="F39" s="365"/>
      <c r="G39" s="25"/>
      <c r="H39" s="365"/>
    </row>
  </sheetData>
  <mergeCells count="14">
    <mergeCell ref="D2:H4"/>
    <mergeCell ref="A6:H6"/>
    <mergeCell ref="A8:H8"/>
    <mergeCell ref="A9:A10"/>
    <mergeCell ref="B9:B10"/>
    <mergeCell ref="C9:C10"/>
    <mergeCell ref="D9:G9"/>
    <mergeCell ref="H9:H10"/>
    <mergeCell ref="A18:C18"/>
    <mergeCell ref="D32:E32"/>
    <mergeCell ref="F32:H32"/>
    <mergeCell ref="A12:C12"/>
    <mergeCell ref="A14:C14"/>
    <mergeCell ref="A16:C1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004-55-1-01.12-1314</vt:lpstr>
      <vt:lpstr>НМЦ лота 004-55-1-01.12-1314</vt:lpstr>
      <vt:lpstr>'Расчет 004-55-1-01.12-1314'!Область_печати</vt:lpstr>
    </vt:vector>
  </TitlesOfParts>
  <Company>Комиэнерго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Есев Роман Николаевич</cp:lastModifiedBy>
  <cp:lastPrinted>2019-09-17T05:20:54Z</cp:lastPrinted>
  <dcterms:created xsi:type="dcterms:W3CDTF">2013-08-20T09:15:16Z</dcterms:created>
  <dcterms:modified xsi:type="dcterms:W3CDTF">2020-02-25T12:32:59Z</dcterms:modified>
</cp:coreProperties>
</file>